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015" windowHeight="3345" firstSheet="2" activeTab="2"/>
  </bookViews>
  <sheets>
    <sheet name="Лист3" sheetId="3" state="hidden" r:id="rId1"/>
    <sheet name="от 18.04.17г. для ДКРЕМ" sheetId="30" state="hidden" r:id="rId2"/>
    <sheet name="от 18.04.17г. для ДКРЕМ (2)" sheetId="32" r:id="rId3"/>
  </sheets>
  <calcPr calcId="124519" iterate="1" iterateCount="10"/>
</workbook>
</file>

<file path=xl/calcChain.xml><?xml version="1.0" encoding="utf-8"?>
<calcChain xmlns="http://schemas.openxmlformats.org/spreadsheetml/2006/main">
  <c r="F199" i="32"/>
  <c r="E168"/>
  <c r="E164"/>
  <c r="E163"/>
  <c r="E160"/>
  <c r="E157"/>
  <c r="E154"/>
  <c r="E151"/>
  <c r="F151" s="1"/>
  <c r="G151" s="1"/>
  <c r="E148"/>
  <c r="E146"/>
  <c r="E143"/>
  <c r="E142"/>
  <c r="E141"/>
  <c r="E140"/>
  <c r="E139"/>
  <c r="E135"/>
  <c r="F135" s="1"/>
  <c r="G135" s="1"/>
  <c r="E129"/>
  <c r="E116"/>
  <c r="E112"/>
  <c r="E107" s="1"/>
  <c r="E108"/>
  <c r="E106"/>
  <c r="F106" s="1"/>
  <c r="G106" s="1"/>
  <c r="E101"/>
  <c r="E94" s="1"/>
  <c r="E96"/>
  <c r="E92"/>
  <c r="E91"/>
  <c r="E90" s="1"/>
  <c r="E89"/>
  <c r="E88"/>
  <c r="E87" s="1"/>
  <c r="E86"/>
  <c r="E83"/>
  <c r="E80"/>
  <c r="F80" s="1"/>
  <c r="G80" s="1"/>
  <c r="E77"/>
  <c r="E74"/>
  <c r="E73"/>
  <c r="E72"/>
  <c r="E71"/>
  <c r="E65"/>
  <c r="E62"/>
  <c r="E59"/>
  <c r="E56"/>
  <c r="E52"/>
  <c r="E51"/>
  <c r="E53" s="1"/>
  <c r="F53" s="1"/>
  <c r="G53" s="1"/>
  <c r="E50"/>
  <c r="E47"/>
  <c r="E44"/>
  <c r="E41"/>
  <c r="E37" s="1"/>
  <c r="E40"/>
  <c r="F40" s="1"/>
  <c r="G40" s="1"/>
  <c r="E35"/>
  <c r="E30"/>
  <c r="E10" s="1"/>
  <c r="E29"/>
  <c r="E23"/>
  <c r="E20"/>
  <c r="E17"/>
  <c r="F17" s="1"/>
  <c r="G17" s="1"/>
  <c r="E14"/>
  <c r="E11"/>
  <c r="E106" i="30"/>
  <c r="E168"/>
  <c r="F168" i="32"/>
  <c r="G168" s="1"/>
  <c r="D211"/>
  <c r="D210"/>
  <c r="F208"/>
  <c r="G208" s="1"/>
  <c r="F207"/>
  <c r="G207" s="1"/>
  <c r="E206"/>
  <c r="F206" s="1"/>
  <c r="G206" s="1"/>
  <c r="D206"/>
  <c r="D209" s="1"/>
  <c r="E204"/>
  <c r="F203"/>
  <c r="G203" s="1"/>
  <c r="E203"/>
  <c r="D203"/>
  <c r="F202"/>
  <c r="G202" s="1"/>
  <c r="E202"/>
  <c r="D202"/>
  <c r="F201"/>
  <c r="G201" s="1"/>
  <c r="G199"/>
  <c r="F195"/>
  <c r="G195" s="1"/>
  <c r="E194"/>
  <c r="F194" s="1"/>
  <c r="F193"/>
  <c r="E193"/>
  <c r="E192"/>
  <c r="F192" s="1"/>
  <c r="G191"/>
  <c r="F191"/>
  <c r="F190"/>
  <c r="G190" s="1"/>
  <c r="F189"/>
  <c r="F188"/>
  <c r="G188" s="1"/>
  <c r="G187"/>
  <c r="F187"/>
  <c r="E187"/>
  <c r="F186"/>
  <c r="G185"/>
  <c r="F185"/>
  <c r="E185"/>
  <c r="F184"/>
  <c r="G184" s="1"/>
  <c r="E184"/>
  <c r="E183" s="1"/>
  <c r="E179" s="1"/>
  <c r="D183"/>
  <c r="F182"/>
  <c r="G182" s="1"/>
  <c r="G181"/>
  <c r="F181"/>
  <c r="E181"/>
  <c r="F180"/>
  <c r="G180" s="1"/>
  <c r="D179"/>
  <c r="E178"/>
  <c r="F178" s="1"/>
  <c r="G178" s="1"/>
  <c r="E177"/>
  <c r="F177" s="1"/>
  <c r="G177" s="1"/>
  <c r="F176"/>
  <c r="G176" s="1"/>
  <c r="E176"/>
  <c r="E175" s="1"/>
  <c r="D175"/>
  <c r="F174"/>
  <c r="G174" s="1"/>
  <c r="G173"/>
  <c r="F173"/>
  <c r="F172"/>
  <c r="G172" s="1"/>
  <c r="F171"/>
  <c r="E170"/>
  <c r="D170"/>
  <c r="F164"/>
  <c r="G164" s="1"/>
  <c r="F163"/>
  <c r="G163" s="1"/>
  <c r="D163"/>
  <c r="F162"/>
  <c r="G162" s="1"/>
  <c r="F161"/>
  <c r="G161" s="1"/>
  <c r="F160"/>
  <c r="G160" s="1"/>
  <c r="D160"/>
  <c r="F159"/>
  <c r="G159" s="1"/>
  <c r="F158"/>
  <c r="G158" s="1"/>
  <c r="F157"/>
  <c r="G157" s="1"/>
  <c r="D157"/>
  <c r="F156"/>
  <c r="G156" s="1"/>
  <c r="F155"/>
  <c r="G155" s="1"/>
  <c r="D154"/>
  <c r="F154" s="1"/>
  <c r="G154" s="1"/>
  <c r="F153"/>
  <c r="G153" s="1"/>
  <c r="F152"/>
  <c r="G152" s="1"/>
  <c r="D151"/>
  <c r="F150"/>
  <c r="G150" s="1"/>
  <c r="F149"/>
  <c r="G149" s="1"/>
  <c r="D148"/>
  <c r="F147"/>
  <c r="G147" s="1"/>
  <c r="D146"/>
  <c r="F145"/>
  <c r="G145" s="1"/>
  <c r="F144"/>
  <c r="G144" s="1"/>
  <c r="D143"/>
  <c r="F142"/>
  <c r="G142" s="1"/>
  <c r="F141"/>
  <c r="G141" s="1"/>
  <c r="F140"/>
  <c r="G140" s="1"/>
  <c r="E211"/>
  <c r="F139"/>
  <c r="G139" s="1"/>
  <c r="D139"/>
  <c r="F138"/>
  <c r="G138" s="1"/>
  <c r="F137"/>
  <c r="G137" s="1"/>
  <c r="F136"/>
  <c r="G136" s="1"/>
  <c r="D135"/>
  <c r="F132"/>
  <c r="G132" s="1"/>
  <c r="F131"/>
  <c r="G131" s="1"/>
  <c r="G130"/>
  <c r="F130"/>
  <c r="F129"/>
  <c r="G129" s="1"/>
  <c r="G128"/>
  <c r="F128"/>
  <c r="F127"/>
  <c r="G127" s="1"/>
  <c r="F126"/>
  <c r="G126" s="1"/>
  <c r="F125"/>
  <c r="G125" s="1"/>
  <c r="F124"/>
  <c r="G124" s="1"/>
  <c r="F123"/>
  <c r="G123" s="1"/>
  <c r="G122"/>
  <c r="F122"/>
  <c r="F121"/>
  <c r="G121" s="1"/>
  <c r="F120"/>
  <c r="G120" s="1"/>
  <c r="F119"/>
  <c r="G119" s="1"/>
  <c r="F118"/>
  <c r="G118" s="1"/>
  <c r="F117"/>
  <c r="G117" s="1"/>
  <c r="D116"/>
  <c r="F115"/>
  <c r="G115" s="1"/>
  <c r="F114"/>
  <c r="G114" s="1"/>
  <c r="F113"/>
  <c r="D112"/>
  <c r="G111"/>
  <c r="G110"/>
  <c r="G109"/>
  <c r="F108"/>
  <c r="F105"/>
  <c r="G105" s="1"/>
  <c r="F104"/>
  <c r="G104" s="1"/>
  <c r="F103"/>
  <c r="G103" s="1"/>
  <c r="F102"/>
  <c r="G102" s="1"/>
  <c r="D101"/>
  <c r="F100"/>
  <c r="G100" s="1"/>
  <c r="F99"/>
  <c r="G99" s="1"/>
  <c r="F98"/>
  <c r="G98" s="1"/>
  <c r="F97"/>
  <c r="G97" s="1"/>
  <c r="D96"/>
  <c r="F95"/>
  <c r="G95" s="1"/>
  <c r="F93"/>
  <c r="F92" s="1"/>
  <c r="G92" s="1"/>
  <c r="D92"/>
  <c r="D90"/>
  <c r="F89"/>
  <c r="D87"/>
  <c r="F86"/>
  <c r="G86" s="1"/>
  <c r="D86"/>
  <c r="F85"/>
  <c r="G85" s="1"/>
  <c r="F84"/>
  <c r="G84" s="1"/>
  <c r="D83"/>
  <c r="G83" s="1"/>
  <c r="F82"/>
  <c r="G82" s="1"/>
  <c r="F81"/>
  <c r="G81" s="1"/>
  <c r="D80"/>
  <c r="F79"/>
  <c r="G79" s="1"/>
  <c r="F78"/>
  <c r="G78" s="1"/>
  <c r="D77"/>
  <c r="F76"/>
  <c r="G76" s="1"/>
  <c r="G75"/>
  <c r="F75"/>
  <c r="D74"/>
  <c r="D73"/>
  <c r="D72" s="1"/>
  <c r="F71"/>
  <c r="G71" s="1"/>
  <c r="D71"/>
  <c r="F70"/>
  <c r="G70" s="1"/>
  <c r="F69"/>
  <c r="G69" s="1"/>
  <c r="F68"/>
  <c r="G68" s="1"/>
  <c r="F67"/>
  <c r="G67" s="1"/>
  <c r="F66"/>
  <c r="F65"/>
  <c r="G65" s="1"/>
  <c r="D65"/>
  <c r="F64"/>
  <c r="G64" s="1"/>
  <c r="F63"/>
  <c r="G63" s="1"/>
  <c r="D62"/>
  <c r="F61"/>
  <c r="G61" s="1"/>
  <c r="F60"/>
  <c r="G60" s="1"/>
  <c r="F59"/>
  <c r="G59" s="1"/>
  <c r="D59"/>
  <c r="F58"/>
  <c r="G58" s="1"/>
  <c r="F57"/>
  <c r="G57" s="1"/>
  <c r="F56"/>
  <c r="G56" s="1"/>
  <c r="D56"/>
  <c r="F55"/>
  <c r="G55" s="1"/>
  <c r="F54"/>
  <c r="G54" s="1"/>
  <c r="F52"/>
  <c r="G52" s="1"/>
  <c r="D52"/>
  <c r="D51"/>
  <c r="D53" s="1"/>
  <c r="D50"/>
  <c r="F49"/>
  <c r="G49" s="1"/>
  <c r="F48"/>
  <c r="G48" s="1"/>
  <c r="F47"/>
  <c r="G47" s="1"/>
  <c r="D47"/>
  <c r="F46"/>
  <c r="G46" s="1"/>
  <c r="G45"/>
  <c r="F45"/>
  <c r="F44"/>
  <c r="G44" s="1"/>
  <c r="D44"/>
  <c r="F43"/>
  <c r="G43" s="1"/>
  <c r="F42"/>
  <c r="G42" s="1"/>
  <c r="D41"/>
  <c r="D37" s="1"/>
  <c r="D40"/>
  <c r="F39"/>
  <c r="G39" s="1"/>
  <c r="F38"/>
  <c r="G38" s="1"/>
  <c r="F36"/>
  <c r="G36" s="1"/>
  <c r="D35"/>
  <c r="F34"/>
  <c r="G34" s="1"/>
  <c r="F33"/>
  <c r="G33" s="1"/>
  <c r="G32"/>
  <c r="F32"/>
  <c r="F31"/>
  <c r="G31" s="1"/>
  <c r="D30"/>
  <c r="D29"/>
  <c r="F28"/>
  <c r="G28" s="1"/>
  <c r="F27"/>
  <c r="G27" s="1"/>
  <c r="G26"/>
  <c r="F25"/>
  <c r="G25" s="1"/>
  <c r="F24"/>
  <c r="G24" s="1"/>
  <c r="D23"/>
  <c r="F22"/>
  <c r="G22" s="1"/>
  <c r="G21"/>
  <c r="F21"/>
  <c r="D20"/>
  <c r="F19"/>
  <c r="G19" s="1"/>
  <c r="F18"/>
  <c r="G18" s="1"/>
  <c r="D17"/>
  <c r="F16"/>
  <c r="G16" s="1"/>
  <c r="F15"/>
  <c r="G15" s="1"/>
  <c r="F14"/>
  <c r="G14" s="1"/>
  <c r="D14"/>
  <c r="F13"/>
  <c r="G13" s="1"/>
  <c r="F12"/>
  <c r="G12" s="1"/>
  <c r="F11"/>
  <c r="G11" s="1"/>
  <c r="D11"/>
  <c r="E184" i="30"/>
  <c r="F148" i="32" l="1"/>
  <c r="G148" s="1"/>
  <c r="E134"/>
  <c r="E133" s="1"/>
  <c r="F51"/>
  <c r="G51" s="1"/>
  <c r="E210"/>
  <c r="F210" s="1"/>
  <c r="G210" s="1"/>
  <c r="F91"/>
  <c r="G91" s="1"/>
  <c r="F88"/>
  <c r="G88" s="1"/>
  <c r="F112"/>
  <c r="G112" s="1"/>
  <c r="G93"/>
  <c r="D94"/>
  <c r="D107"/>
  <c r="F170"/>
  <c r="G170" s="1"/>
  <c r="F41"/>
  <c r="G41" s="1"/>
  <c r="D10"/>
  <c r="D9" s="1"/>
  <c r="D8" s="1"/>
  <c r="F50"/>
  <c r="G50" s="1"/>
  <c r="F62"/>
  <c r="G62" s="1"/>
  <c r="F116"/>
  <c r="G116" s="1"/>
  <c r="F211"/>
  <c r="G211" s="1"/>
  <c r="F23"/>
  <c r="G23" s="1"/>
  <c r="F29"/>
  <c r="G29" s="1"/>
  <c r="G171"/>
  <c r="D134"/>
  <c r="D133" s="1"/>
  <c r="F101"/>
  <c r="G101" s="1"/>
  <c r="F96"/>
  <c r="F73"/>
  <c r="G73" s="1"/>
  <c r="F77"/>
  <c r="G77" s="1"/>
  <c r="F37"/>
  <c r="G37" s="1"/>
  <c r="F20"/>
  <c r="G20" s="1"/>
  <c r="G89"/>
  <c r="F87"/>
  <c r="G87" s="1"/>
  <c r="G108"/>
  <c r="F30"/>
  <c r="G30" s="1"/>
  <c r="F35"/>
  <c r="G35" s="1"/>
  <c r="F143"/>
  <c r="G143" s="1"/>
  <c r="F146"/>
  <c r="G146" s="1"/>
  <c r="E209"/>
  <c r="F209" s="1"/>
  <c r="G209" s="1"/>
  <c r="F74"/>
  <c r="G74" s="1"/>
  <c r="F175"/>
  <c r="G175" s="1"/>
  <c r="F183"/>
  <c r="G183" s="1"/>
  <c r="F90" l="1"/>
  <c r="G90" s="1"/>
  <c r="F107"/>
  <c r="G107" s="1"/>
  <c r="F179"/>
  <c r="G179" s="1"/>
  <c r="D196"/>
  <c r="D198" s="1"/>
  <c r="D204" s="1"/>
  <c r="F204" s="1"/>
  <c r="G204" s="1"/>
  <c r="G96"/>
  <c r="F72"/>
  <c r="G72" s="1"/>
  <c r="F134"/>
  <c r="G134" s="1"/>
  <c r="F133"/>
  <c r="G133" s="1"/>
  <c r="F10"/>
  <c r="G10" s="1"/>
  <c r="E9"/>
  <c r="E89" i="30"/>
  <c r="F89" s="1"/>
  <c r="G89" s="1"/>
  <c r="E141"/>
  <c r="F141" s="1"/>
  <c r="G141" s="1"/>
  <c r="E142"/>
  <c r="E140"/>
  <c r="E88"/>
  <c r="E187"/>
  <c r="F187" s="1"/>
  <c r="G187" s="1"/>
  <c r="E185"/>
  <c r="F185" s="1"/>
  <c r="G185" s="1"/>
  <c r="E194"/>
  <c r="F194" s="1"/>
  <c r="E193"/>
  <c r="F193" s="1"/>
  <c r="E192"/>
  <c r="D211"/>
  <c r="D210"/>
  <c r="F208"/>
  <c r="G208" s="1"/>
  <c r="F207"/>
  <c r="G207" s="1"/>
  <c r="E206"/>
  <c r="F206" s="1"/>
  <c r="G206" s="1"/>
  <c r="D206"/>
  <c r="D209" s="1"/>
  <c r="E204"/>
  <c r="E203"/>
  <c r="F203" s="1"/>
  <c r="G203" s="1"/>
  <c r="D203"/>
  <c r="D202"/>
  <c r="G201"/>
  <c r="F201"/>
  <c r="F199"/>
  <c r="G199" s="1"/>
  <c r="F195"/>
  <c r="G195" s="1"/>
  <c r="F192"/>
  <c r="F191"/>
  <c r="G191" s="1"/>
  <c r="G190"/>
  <c r="F190"/>
  <c r="F189"/>
  <c r="G188"/>
  <c r="F188"/>
  <c r="F186"/>
  <c r="D183"/>
  <c r="G182"/>
  <c r="F182"/>
  <c r="G181"/>
  <c r="F181"/>
  <c r="E181"/>
  <c r="F180"/>
  <c r="G180" s="1"/>
  <c r="D179"/>
  <c r="G178"/>
  <c r="F178"/>
  <c r="E178"/>
  <c r="G177"/>
  <c r="F177"/>
  <c r="E177"/>
  <c r="F176"/>
  <c r="G176" s="1"/>
  <c r="E176"/>
  <c r="E175"/>
  <c r="D175"/>
  <c r="G174"/>
  <c r="F174"/>
  <c r="G173"/>
  <c r="F173"/>
  <c r="G172"/>
  <c r="F172"/>
  <c r="G171"/>
  <c r="F171"/>
  <c r="F170" s="1"/>
  <c r="G170" s="1"/>
  <c r="E170"/>
  <c r="D170"/>
  <c r="G168"/>
  <c r="F168"/>
  <c r="G164"/>
  <c r="F164"/>
  <c r="E164"/>
  <c r="F163"/>
  <c r="G163" s="1"/>
  <c r="E163"/>
  <c r="D163"/>
  <c r="F162"/>
  <c r="G162" s="1"/>
  <c r="G161"/>
  <c r="F161"/>
  <c r="F160"/>
  <c r="G160" s="1"/>
  <c r="E160"/>
  <c r="D160"/>
  <c r="F159"/>
  <c r="G159" s="1"/>
  <c r="G158"/>
  <c r="F158"/>
  <c r="F157"/>
  <c r="G157" s="1"/>
  <c r="E157"/>
  <c r="D157"/>
  <c r="F156"/>
  <c r="G156" s="1"/>
  <c r="G155"/>
  <c r="F155"/>
  <c r="F154"/>
  <c r="G154" s="1"/>
  <c r="E154"/>
  <c r="D154"/>
  <c r="F153"/>
  <c r="G153" s="1"/>
  <c r="G152"/>
  <c r="F152"/>
  <c r="F151"/>
  <c r="G151" s="1"/>
  <c r="E151"/>
  <c r="D151"/>
  <c r="F150"/>
  <c r="G150" s="1"/>
  <c r="G149"/>
  <c r="F149"/>
  <c r="F148"/>
  <c r="G148" s="1"/>
  <c r="E148"/>
  <c r="D148"/>
  <c r="F147"/>
  <c r="G147" s="1"/>
  <c r="E146"/>
  <c r="D146"/>
  <c r="G145"/>
  <c r="F145"/>
  <c r="F144"/>
  <c r="G144" s="1"/>
  <c r="E143"/>
  <c r="D143"/>
  <c r="G142"/>
  <c r="F142"/>
  <c r="F140"/>
  <c r="G140" s="1"/>
  <c r="E139"/>
  <c r="D139"/>
  <c r="F139" s="1"/>
  <c r="G139" s="1"/>
  <c r="G138"/>
  <c r="F138"/>
  <c r="F137"/>
  <c r="G137" s="1"/>
  <c r="G136"/>
  <c r="F136"/>
  <c r="F135"/>
  <c r="G135" s="1"/>
  <c r="E135"/>
  <c r="D135"/>
  <c r="G132"/>
  <c r="F132"/>
  <c r="G131"/>
  <c r="F131"/>
  <c r="G130"/>
  <c r="F130"/>
  <c r="F129"/>
  <c r="G129" s="1"/>
  <c r="E129"/>
  <c r="G128"/>
  <c r="F128"/>
  <c r="G127"/>
  <c r="F127"/>
  <c r="G126"/>
  <c r="F126"/>
  <c r="G125"/>
  <c r="F125"/>
  <c r="G124"/>
  <c r="F124"/>
  <c r="G123"/>
  <c r="F123"/>
  <c r="G122"/>
  <c r="F122"/>
  <c r="G121"/>
  <c r="F121"/>
  <c r="G120"/>
  <c r="F120"/>
  <c r="G119"/>
  <c r="F119"/>
  <c r="G118"/>
  <c r="F118"/>
  <c r="G117"/>
  <c r="F117"/>
  <c r="E116"/>
  <c r="F116" s="1"/>
  <c r="G116" s="1"/>
  <c r="D116"/>
  <c r="G115"/>
  <c r="F115"/>
  <c r="G114"/>
  <c r="F114"/>
  <c r="F113"/>
  <c r="F112"/>
  <c r="G112" s="1"/>
  <c r="E112"/>
  <c r="D112"/>
  <c r="G111"/>
  <c r="G110"/>
  <c r="G109"/>
  <c r="E108"/>
  <c r="F108" s="1"/>
  <c r="D107"/>
  <c r="F106"/>
  <c r="G106" s="1"/>
  <c r="F105"/>
  <c r="G105" s="1"/>
  <c r="G104"/>
  <c r="F104"/>
  <c r="F103"/>
  <c r="G103" s="1"/>
  <c r="G102"/>
  <c r="F102"/>
  <c r="F101"/>
  <c r="G101" s="1"/>
  <c r="E101"/>
  <c r="D101"/>
  <c r="F100"/>
  <c r="G100" s="1"/>
  <c r="G99"/>
  <c r="F99"/>
  <c r="F98"/>
  <c r="G98" s="1"/>
  <c r="G97"/>
  <c r="F97"/>
  <c r="F96"/>
  <c r="G96" s="1"/>
  <c r="E96"/>
  <c r="D96"/>
  <c r="F95"/>
  <c r="G95" s="1"/>
  <c r="D94"/>
  <c r="G93"/>
  <c r="F93"/>
  <c r="F92"/>
  <c r="G92" s="1"/>
  <c r="E92"/>
  <c r="D92"/>
  <c r="F91"/>
  <c r="G91" s="1"/>
  <c r="E91"/>
  <c r="E90"/>
  <c r="D90"/>
  <c r="F88"/>
  <c r="D87"/>
  <c r="E86"/>
  <c r="D86"/>
  <c r="F86" s="1"/>
  <c r="G86" s="1"/>
  <c r="G85"/>
  <c r="F85"/>
  <c r="F84"/>
  <c r="G84" s="1"/>
  <c r="G83"/>
  <c r="E83"/>
  <c r="D83"/>
  <c r="G82"/>
  <c r="F82"/>
  <c r="G81"/>
  <c r="F81"/>
  <c r="G80"/>
  <c r="F80"/>
  <c r="E80"/>
  <c r="D80"/>
  <c r="G79"/>
  <c r="F79"/>
  <c r="G78"/>
  <c r="F78"/>
  <c r="G77"/>
  <c r="F77"/>
  <c r="E77"/>
  <c r="D77"/>
  <c r="G76"/>
  <c r="F76"/>
  <c r="G75"/>
  <c r="F75"/>
  <c r="G74"/>
  <c r="F74"/>
  <c r="E74"/>
  <c r="D74"/>
  <c r="E73"/>
  <c r="D73"/>
  <c r="E72"/>
  <c r="D72"/>
  <c r="G71"/>
  <c r="F71"/>
  <c r="E71"/>
  <c r="D71"/>
  <c r="G70"/>
  <c r="F70"/>
  <c r="G69"/>
  <c r="F69"/>
  <c r="G68"/>
  <c r="F68"/>
  <c r="G67"/>
  <c r="F67"/>
  <c r="F66"/>
  <c r="E65"/>
  <c r="D65"/>
  <c r="F65" s="1"/>
  <c r="G65" s="1"/>
  <c r="G64"/>
  <c r="F64"/>
  <c r="F63"/>
  <c r="G63" s="1"/>
  <c r="E62"/>
  <c r="D62"/>
  <c r="F62" s="1"/>
  <c r="G62" s="1"/>
  <c r="G61"/>
  <c r="F61"/>
  <c r="F60"/>
  <c r="G60" s="1"/>
  <c r="E59"/>
  <c r="D59"/>
  <c r="F59" s="1"/>
  <c r="G59" s="1"/>
  <c r="G58"/>
  <c r="F58"/>
  <c r="F57"/>
  <c r="G57" s="1"/>
  <c r="E56"/>
  <c r="D56"/>
  <c r="F56" s="1"/>
  <c r="G56" s="1"/>
  <c r="G55"/>
  <c r="F55"/>
  <c r="F54"/>
  <c r="G54" s="1"/>
  <c r="E52"/>
  <c r="D52"/>
  <c r="F52" s="1"/>
  <c r="G52" s="1"/>
  <c r="E51"/>
  <c r="E53" s="1"/>
  <c r="D51"/>
  <c r="F51" s="1"/>
  <c r="G51" s="1"/>
  <c r="E50"/>
  <c r="D50"/>
  <c r="F50" s="1"/>
  <c r="G50" s="1"/>
  <c r="G49"/>
  <c r="F49"/>
  <c r="F48"/>
  <c r="G48" s="1"/>
  <c r="E47"/>
  <c r="D47"/>
  <c r="F47" s="1"/>
  <c r="G47" s="1"/>
  <c r="G46"/>
  <c r="F46"/>
  <c r="F45"/>
  <c r="G45" s="1"/>
  <c r="E44"/>
  <c r="D44"/>
  <c r="F44" s="1"/>
  <c r="G44" s="1"/>
  <c r="G43"/>
  <c r="F43"/>
  <c r="F42"/>
  <c r="G42" s="1"/>
  <c r="E41"/>
  <c r="D41"/>
  <c r="F41" s="1"/>
  <c r="G41" s="1"/>
  <c r="E40"/>
  <c r="D40"/>
  <c r="F40" s="1"/>
  <c r="G40" s="1"/>
  <c r="G39"/>
  <c r="F39"/>
  <c r="F38"/>
  <c r="G38" s="1"/>
  <c r="E37"/>
  <c r="D37"/>
  <c r="F37" s="1"/>
  <c r="G37" s="1"/>
  <c r="G36"/>
  <c r="F36"/>
  <c r="F35"/>
  <c r="G35" s="1"/>
  <c r="E35"/>
  <c r="E10" s="1"/>
  <c r="D35"/>
  <c r="F34"/>
  <c r="G34" s="1"/>
  <c r="G33"/>
  <c r="F33"/>
  <c r="F32"/>
  <c r="G32" s="1"/>
  <c r="G31"/>
  <c r="F31"/>
  <c r="E30"/>
  <c r="D30"/>
  <c r="G29"/>
  <c r="F29"/>
  <c r="E29"/>
  <c r="D29"/>
  <c r="G28"/>
  <c r="F28"/>
  <c r="G27"/>
  <c r="F27"/>
  <c r="G26"/>
  <c r="G25"/>
  <c r="F25"/>
  <c r="F24"/>
  <c r="G24" s="1"/>
  <c r="E23"/>
  <c r="D23"/>
  <c r="F23" s="1"/>
  <c r="G23" s="1"/>
  <c r="G22"/>
  <c r="F22"/>
  <c r="F21"/>
  <c r="G21" s="1"/>
  <c r="E20"/>
  <c r="D20"/>
  <c r="F20" s="1"/>
  <c r="G20" s="1"/>
  <c r="G19"/>
  <c r="F19"/>
  <c r="F18"/>
  <c r="G18" s="1"/>
  <c r="E17"/>
  <c r="D17"/>
  <c r="F17" s="1"/>
  <c r="G17" s="1"/>
  <c r="G16"/>
  <c r="F16"/>
  <c r="F15"/>
  <c r="G15" s="1"/>
  <c r="E14"/>
  <c r="D14"/>
  <c r="F14" s="1"/>
  <c r="G14" s="1"/>
  <c r="G13"/>
  <c r="F13"/>
  <c r="F12"/>
  <c r="G12" s="1"/>
  <c r="E11"/>
  <c r="D11"/>
  <c r="F11" s="1"/>
  <c r="G11" s="1"/>
  <c r="F94" i="32" l="1"/>
  <c r="G94" s="1"/>
  <c r="D200"/>
  <c r="F200" s="1"/>
  <c r="G200" s="1"/>
  <c r="F198"/>
  <c r="G198" s="1"/>
  <c r="F9"/>
  <c r="G9" s="1"/>
  <c r="E8"/>
  <c r="D134" i="30"/>
  <c r="D133" s="1"/>
  <c r="E183"/>
  <c r="F184"/>
  <c r="G88"/>
  <c r="F87"/>
  <c r="G87" s="1"/>
  <c r="G108"/>
  <c r="F107"/>
  <c r="G107" s="1"/>
  <c r="E9"/>
  <c r="F10"/>
  <c r="G10" s="1"/>
  <c r="D10"/>
  <c r="D9" s="1"/>
  <c r="D8" s="1"/>
  <c r="D53"/>
  <c r="F53" s="1"/>
  <c r="G53" s="1"/>
  <c r="E209"/>
  <c r="F209" s="1"/>
  <c r="G209" s="1"/>
  <c r="E210"/>
  <c r="F210" s="1"/>
  <c r="G210" s="1"/>
  <c r="F73"/>
  <c r="F94"/>
  <c r="G94" s="1"/>
  <c r="F143"/>
  <c r="G143" s="1"/>
  <c r="F146"/>
  <c r="G146" s="1"/>
  <c r="E202"/>
  <c r="F202" s="1"/>
  <c r="G202" s="1"/>
  <c r="E211"/>
  <c r="F211" s="1"/>
  <c r="G211" s="1"/>
  <c r="F30"/>
  <c r="G30" s="1"/>
  <c r="E87"/>
  <c r="F90"/>
  <c r="G90" s="1"/>
  <c r="E107"/>
  <c r="E94" s="1"/>
  <c r="F175"/>
  <c r="G175" s="1"/>
  <c r="E196" i="32" l="1"/>
  <c r="F8"/>
  <c r="G8" s="1"/>
  <c r="E179" i="30"/>
  <c r="D196"/>
  <c r="D198" s="1"/>
  <c r="D204" s="1"/>
  <c r="F204" s="1"/>
  <c r="G204" s="1"/>
  <c r="F183"/>
  <c r="G184"/>
  <c r="F9"/>
  <c r="G9" s="1"/>
  <c r="E8"/>
  <c r="F72"/>
  <c r="G72" s="1"/>
  <c r="G73"/>
  <c r="E197" i="32" l="1"/>
  <c r="F197" s="1"/>
  <c r="G197" s="1"/>
  <c r="F196"/>
  <c r="G196" s="1"/>
  <c r="E134" i="30"/>
  <c r="D200"/>
  <c r="F200" s="1"/>
  <c r="G200" s="1"/>
  <c r="F198"/>
  <c r="G198" s="1"/>
  <c r="G183"/>
  <c r="F179"/>
  <c r="G179" s="1"/>
  <c r="F8"/>
  <c r="G8" s="1"/>
  <c r="F134" l="1"/>
  <c r="G134" s="1"/>
  <c r="E133"/>
  <c r="F133" l="1"/>
  <c r="G133" s="1"/>
  <c r="E196"/>
  <c r="E197" l="1"/>
  <c r="F196"/>
  <c r="G196" s="1"/>
  <c r="F197" l="1"/>
  <c r="G197" s="1"/>
</calcChain>
</file>

<file path=xl/sharedStrings.xml><?xml version="1.0" encoding="utf-8"?>
<sst xmlns="http://schemas.openxmlformats.org/spreadsheetml/2006/main" count="1130" uniqueCount="310">
  <si>
    <t>№ п/п</t>
  </si>
  <si>
    <t>Наименование</t>
  </si>
  <si>
    <t>I.</t>
  </si>
  <si>
    <t>Затраты на производство и представление услуг-всего</t>
  </si>
  <si>
    <t>тыс.тенге</t>
  </si>
  <si>
    <t>1.</t>
  </si>
  <si>
    <t>Материальные затраты-всего</t>
  </si>
  <si>
    <t>1.1.</t>
  </si>
  <si>
    <t>Сырьё и материалы, всего</t>
  </si>
  <si>
    <t>1.1.1.</t>
  </si>
  <si>
    <t>химические реагенты</t>
  </si>
  <si>
    <t>1.1.1.1.</t>
  </si>
  <si>
    <t>хлор жидкий</t>
  </si>
  <si>
    <t>объем</t>
  </si>
  <si>
    <t>кг.</t>
  </si>
  <si>
    <t>цена</t>
  </si>
  <si>
    <t>тенге</t>
  </si>
  <si>
    <t>1.1.1.2.</t>
  </si>
  <si>
    <t>коагулянт Бопак Е</t>
  </si>
  <si>
    <t>1.1.1.3.</t>
  </si>
  <si>
    <t>гипохлорит кальция</t>
  </si>
  <si>
    <t>1.1.1.4.</t>
  </si>
  <si>
    <t xml:space="preserve">гипохлорит натрия </t>
  </si>
  <si>
    <t>1.1.1.5.</t>
  </si>
  <si>
    <t>ингибитор отложения минеральных солей</t>
  </si>
  <si>
    <t>полиакриламид</t>
  </si>
  <si>
    <t>1.1.2</t>
  </si>
  <si>
    <t>прочие материалы, всего</t>
  </si>
  <si>
    <t>1.1.2.1</t>
  </si>
  <si>
    <t>материалы на ремонтно-эксплуатационные нужды</t>
  </si>
  <si>
    <t>1.1.2.2</t>
  </si>
  <si>
    <t>материалы на ремонтно-эксплуатационные нужды электрооборудования</t>
  </si>
  <si>
    <t>1.1.2.3</t>
  </si>
  <si>
    <t>реактивы</t>
  </si>
  <si>
    <t>1.1.2.4</t>
  </si>
  <si>
    <t>лабораторная  посуда и материалы</t>
  </si>
  <si>
    <t>1.1.3</t>
  </si>
  <si>
    <t>запасные части</t>
  </si>
  <si>
    <t>1.1.3.1.</t>
  </si>
  <si>
    <t>на механизмы и автотранспорт</t>
  </si>
  <si>
    <t>1.2</t>
  </si>
  <si>
    <t>топливо, всего</t>
  </si>
  <si>
    <t>1.2.1</t>
  </si>
  <si>
    <t>уголь</t>
  </si>
  <si>
    <t>тонн</t>
  </si>
  <si>
    <t>1.2.2</t>
  </si>
  <si>
    <t>бензин</t>
  </si>
  <si>
    <t xml:space="preserve">АИ -80  </t>
  </si>
  <si>
    <t xml:space="preserve"> объем</t>
  </si>
  <si>
    <t>л</t>
  </si>
  <si>
    <t>АИ- 92</t>
  </si>
  <si>
    <t xml:space="preserve">   объем</t>
  </si>
  <si>
    <t>1.2.3</t>
  </si>
  <si>
    <t>дизтопливо</t>
  </si>
  <si>
    <t>1.2.4</t>
  </si>
  <si>
    <t>масла и смазки</t>
  </si>
  <si>
    <t>автол М-8</t>
  </si>
  <si>
    <t>масло гидравлическое</t>
  </si>
  <si>
    <t>масло дизельное</t>
  </si>
  <si>
    <t>специальные масла</t>
  </si>
  <si>
    <t>пластичные смазки (литол)</t>
  </si>
  <si>
    <t>кг</t>
  </si>
  <si>
    <t>1.3</t>
  </si>
  <si>
    <t>электроэнергия</t>
  </si>
  <si>
    <t>общая сумма</t>
  </si>
  <si>
    <t xml:space="preserve"> общий объем</t>
  </si>
  <si>
    <t>кВт/ч</t>
  </si>
  <si>
    <t>Ф-л ТОО "Кокшетау Энерго Центр" Горэлектросети</t>
  </si>
  <si>
    <t>кол-во</t>
  </si>
  <si>
    <t>Ф-л ТОО "Кокшетау Энерго Центр" ВостокЭнерго - г. Шучинск</t>
  </si>
  <si>
    <t>Ф-л ТОО "Кокшетау Энерго Центр" ВостокЭнерго - 12 подъем</t>
  </si>
  <si>
    <t>Ф-л ТОО "Солтустік Энерго Орталық" Айыртай Энерго</t>
  </si>
  <si>
    <t>2.</t>
  </si>
  <si>
    <t>Затраты на оплату труда, всего</t>
  </si>
  <si>
    <t>2.1.</t>
  </si>
  <si>
    <t>зарплата</t>
  </si>
  <si>
    <t>2.2.</t>
  </si>
  <si>
    <t>социальный налог</t>
  </si>
  <si>
    <t>3.</t>
  </si>
  <si>
    <t>Амортизация</t>
  </si>
  <si>
    <t>3.1.</t>
  </si>
  <si>
    <t>амортизация основных фондов</t>
  </si>
  <si>
    <t>4.</t>
  </si>
  <si>
    <t>Ремонт - всего</t>
  </si>
  <si>
    <t>4.1.</t>
  </si>
  <si>
    <t>капитальный ремонт, не приводящий к увеличению стоимости основных средств</t>
  </si>
  <si>
    <t>5.</t>
  </si>
  <si>
    <t>Прочие затраты, всего</t>
  </si>
  <si>
    <t>5.1.</t>
  </si>
  <si>
    <t>вахтовые</t>
  </si>
  <si>
    <t>5.2.</t>
  </si>
  <si>
    <t>5.2.1.</t>
  </si>
  <si>
    <t>поверка и ремонт приборов учета воды</t>
  </si>
  <si>
    <t>5.2.2.</t>
  </si>
  <si>
    <t>поверка лабораторных  приборов и СИ</t>
  </si>
  <si>
    <t>5.2.3.</t>
  </si>
  <si>
    <t>аттестация лаборатории (раз в 3 года - 2016 г., 2019 г.)</t>
  </si>
  <si>
    <t>5.3.</t>
  </si>
  <si>
    <t>дератизационные услуги</t>
  </si>
  <si>
    <t>охрана труда и техника безопасности, в т.ч.</t>
  </si>
  <si>
    <t>прохождение медосмотра</t>
  </si>
  <si>
    <t xml:space="preserve">затраты на спецодежду </t>
  </si>
  <si>
    <t>обучение и атестация по безопасности и охране труда</t>
  </si>
  <si>
    <t>5.3.4.</t>
  </si>
  <si>
    <t>перезарядка огнетушителей (раз в 5 лет - 2019 г.)</t>
  </si>
  <si>
    <t>5.4</t>
  </si>
  <si>
    <t>услуги связи</t>
  </si>
  <si>
    <t>другие затраты</t>
  </si>
  <si>
    <t>командировочные расходы</t>
  </si>
  <si>
    <t>услуги экспертизы</t>
  </si>
  <si>
    <t>испытание защитных средств</t>
  </si>
  <si>
    <t>услуги по регулированию стока р. Есиль</t>
  </si>
  <si>
    <t>сумма</t>
  </si>
  <si>
    <t>тыс. тенге</t>
  </si>
  <si>
    <t>тыс.м3</t>
  </si>
  <si>
    <t>затраты на демеркуризацию</t>
  </si>
  <si>
    <t>затраты на оплату услуг по обслуживанию лифтов</t>
  </si>
  <si>
    <t>затраты на оплату отвода и очистку сточных вод</t>
  </si>
  <si>
    <t>техническое обслуживание систем видеонаблюдения и охранно-пожарной сигнализации</t>
  </si>
  <si>
    <t>исследования воды</t>
  </si>
  <si>
    <t>затраты на проезд крупногабаритной и тяжелой техники</t>
  </si>
  <si>
    <t>5.8.11</t>
  </si>
  <si>
    <t>расходы по экологии</t>
  </si>
  <si>
    <t>сбор за оформление и постановку на учет автотранспорта</t>
  </si>
  <si>
    <t>разработка программы ПЭК, проекта ПДВ и ПДС для получения разрешения на эмиссии в окружающую среду</t>
  </si>
  <si>
    <t>техосмотр</t>
  </si>
  <si>
    <t>II</t>
  </si>
  <si>
    <t>Расходы периода, всего</t>
  </si>
  <si>
    <t>Общие и административные расходы</t>
  </si>
  <si>
    <t>6.1.</t>
  </si>
  <si>
    <t>сырьё и материалы, всего</t>
  </si>
  <si>
    <t>6.1.1.</t>
  </si>
  <si>
    <t>содержание служебного автотранспорта</t>
  </si>
  <si>
    <t>6.1.2.</t>
  </si>
  <si>
    <t>6.2.</t>
  </si>
  <si>
    <t>зарплата административного  и обслуживающего персонала</t>
  </si>
  <si>
    <t>6.3.</t>
  </si>
  <si>
    <t>6.4.</t>
  </si>
  <si>
    <t>услуги банков</t>
  </si>
  <si>
    <t>6.5.</t>
  </si>
  <si>
    <t>амортизация</t>
  </si>
  <si>
    <t>6.5.1.</t>
  </si>
  <si>
    <t>6.5.2.</t>
  </si>
  <si>
    <t>амортизация НМА</t>
  </si>
  <si>
    <t>6.6.</t>
  </si>
  <si>
    <t>расходы на содержание и обслуживание технических средств управления, узлов связи, вычислительной техники и т.д.</t>
  </si>
  <si>
    <t>6.6.1.</t>
  </si>
  <si>
    <t>вычислительная техника</t>
  </si>
  <si>
    <t>6.7.</t>
  </si>
  <si>
    <t>коммунальные услуги</t>
  </si>
  <si>
    <t>6.7.1.</t>
  </si>
  <si>
    <t>отопление</t>
  </si>
  <si>
    <t>Гкал</t>
  </si>
  <si>
    <t>6.7.2.</t>
  </si>
  <si>
    <t>вывоз мусора</t>
  </si>
  <si>
    <t>м3</t>
  </si>
  <si>
    <t>6.7.3.</t>
  </si>
  <si>
    <t xml:space="preserve">вода питьевая </t>
  </si>
  <si>
    <t>6.7.4.</t>
  </si>
  <si>
    <t>откачка септика</t>
  </si>
  <si>
    <t>6.8.</t>
  </si>
  <si>
    <t>6.9.</t>
  </si>
  <si>
    <t>услуга связи</t>
  </si>
  <si>
    <t>6.10.</t>
  </si>
  <si>
    <t>6.11.</t>
  </si>
  <si>
    <t>охрана труда и техника безопасности</t>
  </si>
  <si>
    <t>6.11.1.</t>
  </si>
  <si>
    <t>6.11.2.</t>
  </si>
  <si>
    <t>6.12.</t>
  </si>
  <si>
    <t xml:space="preserve">налоги </t>
  </si>
  <si>
    <t>налог на транспортные средства</t>
  </si>
  <si>
    <t>налог на имущество</t>
  </si>
  <si>
    <t xml:space="preserve">земельный налог </t>
  </si>
  <si>
    <t>6.13.</t>
  </si>
  <si>
    <t>плата за пользование водными ресурсами из поверхностных источников</t>
  </si>
  <si>
    <t>6.14.</t>
  </si>
  <si>
    <t>плата в фонд охраны природы</t>
  </si>
  <si>
    <t>от стационарных источников</t>
  </si>
  <si>
    <t>от передвижных</t>
  </si>
  <si>
    <t>сброс загрязняющих веществ</t>
  </si>
  <si>
    <t>другие расходы</t>
  </si>
  <si>
    <t>услуги аудита</t>
  </si>
  <si>
    <t>канцелярские</t>
  </si>
  <si>
    <t>затраты на оплату обязательного страхования</t>
  </si>
  <si>
    <t>обязательное страхование гражданско- правовой ответственности владельцев транспортных средств</t>
  </si>
  <si>
    <t>обязательное страхование ГПО владельцев объектов, деятельность которых связана с опасностью причинения вреда третьим лицам</t>
  </si>
  <si>
    <t>обязательное экологическое страхование</t>
  </si>
  <si>
    <t>объявление</t>
  </si>
  <si>
    <t>регистрация нежилого объекта</t>
  </si>
  <si>
    <t>почтовые услуги</t>
  </si>
  <si>
    <t>III</t>
  </si>
  <si>
    <t>Всего затрат</t>
  </si>
  <si>
    <t>IV</t>
  </si>
  <si>
    <t>Прибыль</t>
  </si>
  <si>
    <t>V</t>
  </si>
  <si>
    <t xml:space="preserve">Всего доходов </t>
  </si>
  <si>
    <t>VI</t>
  </si>
  <si>
    <t>Объем оказываемых услуг</t>
  </si>
  <si>
    <t>VII</t>
  </si>
  <si>
    <t>Забор воды</t>
  </si>
  <si>
    <t>VIII</t>
  </si>
  <si>
    <t>Нормативные потери</t>
  </si>
  <si>
    <t>%</t>
  </si>
  <si>
    <t>IX</t>
  </si>
  <si>
    <t>Тариф без НДС</t>
  </si>
  <si>
    <t>тенге/м3</t>
  </si>
  <si>
    <t>Справочно:</t>
  </si>
  <si>
    <t>Среднесписочная численность работников, всего</t>
  </si>
  <si>
    <t>человек</t>
  </si>
  <si>
    <t>7.1</t>
  </si>
  <si>
    <t>производственного персонала</t>
  </si>
  <si>
    <t>7.2</t>
  </si>
  <si>
    <t>административного персонала</t>
  </si>
  <si>
    <t>8</t>
  </si>
  <si>
    <t>Среднемесячная заработная плата, всего</t>
  </si>
  <si>
    <t>8.1</t>
  </si>
  <si>
    <t>8.2</t>
  </si>
  <si>
    <t>Ед. изм.</t>
  </si>
  <si>
    <t>поверка мостового крана (раз в 3 года -2017 г., 2020 г.)</t>
  </si>
  <si>
    <t>отклонение +,-</t>
  </si>
  <si>
    <t>масло трансмиссионное</t>
  </si>
  <si>
    <t>суточные в пределах РК</t>
  </si>
  <si>
    <t>расходы на наем жилого помещения</t>
  </si>
  <si>
    <t>расходы на проезд</t>
  </si>
  <si>
    <t>отведение сточных вод</t>
  </si>
  <si>
    <t>госпошлина</t>
  </si>
  <si>
    <t>Акмолинский филиал республиканского государственного предприятия на праве хозяйственного ведения "Казводхоз" Комитета по водным ресурсам Министерства сельского хозяйства</t>
  </si>
  <si>
    <t>с начала года</t>
  </si>
  <si>
    <t>пеня за теплоснабжение</t>
  </si>
  <si>
    <t>фактические затраты</t>
  </si>
  <si>
    <t>услуги по утилизации</t>
  </si>
  <si>
    <t>пеня и штраф по налогу на землю</t>
  </si>
  <si>
    <t>аттестация рабочих мест</t>
  </si>
  <si>
    <t>Главный  бухгалтер</t>
  </si>
  <si>
    <t>Г. Жуманова</t>
  </si>
  <si>
    <t>исп.  Т.Чеснова</t>
  </si>
  <si>
    <t>отклонение,%</t>
  </si>
  <si>
    <t>затраты на приобретение печатной продукции (бланки)</t>
  </si>
  <si>
    <t>обязательное страхование ГПО работодателя за причинение вреда жизни и здоровью работника при исполнении им трудовых (служебных) обязан.</t>
  </si>
  <si>
    <t>Причины отклонений</t>
  </si>
  <si>
    <t>план ТС согласно корректиров</t>
  </si>
  <si>
    <t>испытание, поверка, измерение сопротивления</t>
  </si>
  <si>
    <t>аттестация электротехнического персонала</t>
  </si>
  <si>
    <t>затраты на аттестацию, поверку приборов учета воды, средств измерений</t>
  </si>
  <si>
    <t>5.4.1.</t>
  </si>
  <si>
    <t>5.4.2.</t>
  </si>
  <si>
    <t>5.4.3.</t>
  </si>
  <si>
    <t>5.5</t>
  </si>
  <si>
    <t>5.6</t>
  </si>
  <si>
    <t>5.6.1</t>
  </si>
  <si>
    <t>5.6.2</t>
  </si>
  <si>
    <t>5.6.2.1.</t>
  </si>
  <si>
    <t>5.6.2.2.</t>
  </si>
  <si>
    <t>5.6.2.3.</t>
  </si>
  <si>
    <t>5.6.3</t>
  </si>
  <si>
    <t>5.6.4</t>
  </si>
  <si>
    <t>5.6.5</t>
  </si>
  <si>
    <t>5.6.6</t>
  </si>
  <si>
    <t>5.6.7</t>
  </si>
  <si>
    <t>5.6.8</t>
  </si>
  <si>
    <t>5.6.9</t>
  </si>
  <si>
    <t>5.6.10</t>
  </si>
  <si>
    <t>5.6.11</t>
  </si>
  <si>
    <t>5.6.12</t>
  </si>
  <si>
    <t>услуга по ремонту э/двигателя и услуги по ремонту техники</t>
  </si>
  <si>
    <t>5.6.13</t>
  </si>
  <si>
    <t>5.6.14</t>
  </si>
  <si>
    <t>5.6.15</t>
  </si>
  <si>
    <t>Исполнение тарифной сметы на оказание услуги по подаче воды по Кокшетаускому групповому водопроводу за   2016 год</t>
  </si>
  <si>
    <t>6.11.3.</t>
  </si>
  <si>
    <t>6.13.1.</t>
  </si>
  <si>
    <t>6.13.2.</t>
  </si>
  <si>
    <t>6.13.3.</t>
  </si>
  <si>
    <t>6.14.1</t>
  </si>
  <si>
    <t>6.14.2</t>
  </si>
  <si>
    <t>6.14.3</t>
  </si>
  <si>
    <t>6.14.4</t>
  </si>
  <si>
    <t>6.14.4.1</t>
  </si>
  <si>
    <t>6.14.4.2</t>
  </si>
  <si>
    <t>6.14.4.3</t>
  </si>
  <si>
    <t>6.14.4.4</t>
  </si>
  <si>
    <t>6.14.5</t>
  </si>
  <si>
    <t>6.14.6</t>
  </si>
  <si>
    <t>6.14.7</t>
  </si>
  <si>
    <t>6.14.8</t>
  </si>
  <si>
    <t>6.14.9</t>
  </si>
  <si>
    <t>6.14.10</t>
  </si>
  <si>
    <t>не был предусмотрен в списании электродвигатель, стоимостью 115,0 тыс. тенге</t>
  </si>
  <si>
    <t>уменьшение использования а/м, работающих на АИ-80</t>
  </si>
  <si>
    <t>списание спецодежды, не предусмотренной в корректировке</t>
  </si>
  <si>
    <t>не был предусмотрен ремонт насоса ГУРа на 6,2 тыс.тенге</t>
  </si>
  <si>
    <t>предусматривалось большее кол-во писем</t>
  </si>
  <si>
    <t>не предусмотрено в ТС</t>
  </si>
  <si>
    <t>проведение техобслуж. экскаваторов в 4 кв.</t>
  </si>
  <si>
    <t>проведение техобслуж. трала в 4 кв.</t>
  </si>
  <si>
    <t>бухгалтерией АФ не были пере-даны в КГВ начисления за 3 кв.</t>
  </si>
  <si>
    <t>предусм. двойная промывка резервуара 5,0тыс. м3, факт. была проведена одна.</t>
  </si>
  <si>
    <t>И.о.  директора</t>
  </si>
  <si>
    <t>Б. Базарбаев</t>
  </si>
  <si>
    <t xml:space="preserve">уменьшение подачи воды в связи с не выделением субсидий </t>
  </si>
  <si>
    <t xml:space="preserve">уменьшение численности </t>
  </si>
  <si>
    <t>по закупу сумма составила меньше</t>
  </si>
  <si>
    <t>предусматривалась двойная промывка резервуара 5,0тыс. м3, факт. была проведена одна.</t>
  </si>
  <si>
    <t>уменьшение кол-ва платежей</t>
  </si>
  <si>
    <t>по данным бухгалтерского учета</t>
  </si>
  <si>
    <t>уменьшение отправляемой корреспонденции</t>
  </si>
  <si>
    <t>уменьшение забора воды</t>
  </si>
  <si>
    <t>уменьшение количества платежей</t>
  </si>
  <si>
    <t>по фактическому потреблению</t>
  </si>
  <si>
    <t xml:space="preserve">уменьшение забора воды в связи с не выделением субсидий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</si>
</sst>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"/>
    <numFmt numFmtId="166" formatCode="#,##0.000"/>
    <numFmt numFmtId="167" formatCode="0.00000"/>
    <numFmt numFmtId="168" formatCode="0.0000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9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wrapText="1"/>
    </xf>
    <xf numFmtId="164" fontId="7" fillId="2" borderId="1" xfId="1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wrapText="1"/>
    </xf>
    <xf numFmtId="164" fontId="9" fillId="2" borderId="1" xfId="1" applyNumberFormat="1" applyFont="1" applyFill="1" applyBorder="1" applyAlignment="1">
      <alignment horizontal="center"/>
    </xf>
    <xf numFmtId="165" fontId="9" fillId="2" borderId="1" xfId="1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right" wrapText="1"/>
    </xf>
    <xf numFmtId="0" fontId="10" fillId="2" borderId="1" xfId="1" applyFont="1" applyFill="1" applyBorder="1" applyAlignment="1">
      <alignment horizontal="center"/>
    </xf>
    <xf numFmtId="1" fontId="9" fillId="2" borderId="1" xfId="1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right"/>
    </xf>
    <xf numFmtId="2" fontId="9" fillId="2" borderId="1" xfId="1" applyNumberFormat="1" applyFont="1" applyFill="1" applyBorder="1" applyAlignment="1">
      <alignment horizontal="center"/>
    </xf>
    <xf numFmtId="49" fontId="7" fillId="2" borderId="1" xfId="1" applyNumberFormat="1" applyFont="1" applyFill="1" applyBorder="1" applyAlignment="1">
      <alignment horizontal="center"/>
    </xf>
    <xf numFmtId="49" fontId="9" fillId="2" borderId="1" xfId="1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left" wrapText="1"/>
    </xf>
    <xf numFmtId="0" fontId="9" fillId="2" borderId="1" xfId="1" applyFont="1" applyFill="1" applyBorder="1" applyAlignment="1">
      <alignment horizontal="left" wrapText="1"/>
    </xf>
    <xf numFmtId="2" fontId="7" fillId="2" borderId="1" xfId="1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 wrapText="1"/>
    </xf>
    <xf numFmtId="1" fontId="7" fillId="2" borderId="1" xfId="1" applyNumberFormat="1" applyFont="1" applyFill="1" applyBorder="1" applyAlignment="1">
      <alignment horizontal="center"/>
    </xf>
    <xf numFmtId="16" fontId="9" fillId="2" borderId="1" xfId="1" applyNumberFormat="1" applyFont="1" applyFill="1" applyBorder="1" applyAlignment="1">
      <alignment horizontal="center"/>
    </xf>
    <xf numFmtId="14" fontId="9" fillId="2" borderId="1" xfId="1" applyNumberFormat="1" applyFont="1" applyFill="1" applyBorder="1" applyAlignment="1">
      <alignment horizontal="center"/>
    </xf>
    <xf numFmtId="0" fontId="9" fillId="2" borderId="0" xfId="1" applyFont="1" applyFill="1" applyAlignment="1"/>
    <xf numFmtId="0" fontId="9" fillId="2" borderId="1" xfId="4" applyFont="1" applyFill="1" applyBorder="1" applyAlignment="1">
      <alignment horizontal="left" wrapText="1"/>
    </xf>
    <xf numFmtId="166" fontId="7" fillId="2" borderId="1" xfId="1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right" wrapText="1"/>
    </xf>
    <xf numFmtId="0" fontId="11" fillId="0" borderId="0" xfId="0" applyFont="1"/>
    <xf numFmtId="164" fontId="0" fillId="0" borderId="0" xfId="0" applyNumberFormat="1"/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left" wrapText="1"/>
    </xf>
    <xf numFmtId="167" fontId="0" fillId="0" borderId="0" xfId="0" applyNumberFormat="1"/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left" wrapText="1"/>
    </xf>
    <xf numFmtId="0" fontId="7" fillId="2" borderId="1" xfId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7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2" fillId="0" borderId="4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9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164" fontId="11" fillId="0" borderId="4" xfId="0" applyNumberFormat="1" applyFont="1" applyBorder="1" applyAlignment="1">
      <alignment horizontal="left"/>
    </xf>
    <xf numFmtId="0" fontId="11" fillId="0" borderId="4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left" wrapText="1"/>
    </xf>
    <xf numFmtId="0" fontId="11" fillId="0" borderId="4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164" fontId="12" fillId="0" borderId="4" xfId="0" applyNumberFormat="1" applyFont="1" applyBorder="1" applyAlignment="1">
      <alignment horizontal="left" wrapText="1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164" fontId="3" fillId="0" borderId="0" xfId="0" applyNumberFormat="1" applyFont="1"/>
    <xf numFmtId="168" fontId="0" fillId="0" borderId="0" xfId="0" applyNumberFormat="1"/>
    <xf numFmtId="166" fontId="0" fillId="0" borderId="0" xfId="0" applyNumberFormat="1"/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_Лист1" xfId="4"/>
  </cellStyles>
  <dxfs count="0"/>
  <tableStyles count="0" defaultTableStyle="TableStyleMedium9" defaultPivotStyle="PivotStyleLight16"/>
  <colors>
    <mruColors>
      <color rgb="FFFFABFF"/>
      <color rgb="FFFF5050"/>
      <color rgb="FFFF8B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34</xdr:row>
      <xdr:rowOff>0</xdr:rowOff>
    </xdr:from>
    <xdr:ext cx="125375" cy="264560"/>
    <xdr:sp macro="" textlink="">
      <xdr:nvSpPr>
        <xdr:cNvPr id="2" name="TextBox 1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125375" cy="264560"/>
    <xdr:sp macro="" textlink="">
      <xdr:nvSpPr>
        <xdr:cNvPr id="3" name="TextBox 2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125375" cy="264560"/>
    <xdr:sp macro="" textlink="">
      <xdr:nvSpPr>
        <xdr:cNvPr id="4" name="TextBox 3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125375" cy="264560"/>
    <xdr:sp macro="" textlink="">
      <xdr:nvSpPr>
        <xdr:cNvPr id="5" name="TextBox 4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66454" cy="264560"/>
    <xdr:sp macro="" textlink="">
      <xdr:nvSpPr>
        <xdr:cNvPr id="6" name="TextBox 5"/>
        <xdr:cNvSpPr txBox="1"/>
      </xdr:nvSpPr>
      <xdr:spPr>
        <a:xfrm flipH="1">
          <a:off x="7762875" y="8801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125375" cy="264560"/>
    <xdr:sp macro="" textlink="">
      <xdr:nvSpPr>
        <xdr:cNvPr id="7" name="TextBox 6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125375" cy="264560"/>
    <xdr:sp macro="" textlink="">
      <xdr:nvSpPr>
        <xdr:cNvPr id="8" name="TextBox 7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125375" cy="264560"/>
    <xdr:sp macro="" textlink="">
      <xdr:nvSpPr>
        <xdr:cNvPr id="9" name="TextBox 8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125375" cy="264560"/>
    <xdr:sp macro="" textlink="">
      <xdr:nvSpPr>
        <xdr:cNvPr id="10" name="TextBox 9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125375" cy="264560"/>
    <xdr:sp macro="" textlink="">
      <xdr:nvSpPr>
        <xdr:cNvPr id="11" name="TextBox 10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125375" cy="264560"/>
    <xdr:sp macro="" textlink="">
      <xdr:nvSpPr>
        <xdr:cNvPr id="12" name="TextBox 11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125375" cy="264560"/>
    <xdr:sp macro="" textlink="">
      <xdr:nvSpPr>
        <xdr:cNvPr id="13" name="TextBox 12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125375" cy="264560"/>
    <xdr:sp macro="" textlink="">
      <xdr:nvSpPr>
        <xdr:cNvPr id="14" name="TextBox 13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66454" cy="264560"/>
    <xdr:sp macro="" textlink="">
      <xdr:nvSpPr>
        <xdr:cNvPr id="15" name="TextBox 14"/>
        <xdr:cNvSpPr txBox="1"/>
      </xdr:nvSpPr>
      <xdr:spPr>
        <a:xfrm flipH="1">
          <a:off x="7762875" y="8801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125375" cy="264560"/>
    <xdr:sp macro="" textlink="">
      <xdr:nvSpPr>
        <xdr:cNvPr id="16" name="TextBox 15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125375" cy="264560"/>
    <xdr:sp macro="" textlink="">
      <xdr:nvSpPr>
        <xdr:cNvPr id="17" name="TextBox 16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125375" cy="264560"/>
    <xdr:sp macro="" textlink="">
      <xdr:nvSpPr>
        <xdr:cNvPr id="18" name="TextBox 17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125375" cy="264560"/>
    <xdr:sp macro="" textlink="">
      <xdr:nvSpPr>
        <xdr:cNvPr id="19" name="TextBox 18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34</xdr:row>
      <xdr:rowOff>0</xdr:rowOff>
    </xdr:from>
    <xdr:ext cx="125375" cy="264560"/>
    <xdr:sp macro="" textlink="">
      <xdr:nvSpPr>
        <xdr:cNvPr id="2" name="TextBox 1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125375" cy="264560"/>
    <xdr:sp macro="" textlink="">
      <xdr:nvSpPr>
        <xdr:cNvPr id="3" name="TextBox 2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125375" cy="264560"/>
    <xdr:sp macro="" textlink="">
      <xdr:nvSpPr>
        <xdr:cNvPr id="4" name="TextBox 3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125375" cy="264560"/>
    <xdr:sp macro="" textlink="">
      <xdr:nvSpPr>
        <xdr:cNvPr id="5" name="TextBox 4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66454" cy="264560"/>
    <xdr:sp macro="" textlink="">
      <xdr:nvSpPr>
        <xdr:cNvPr id="6" name="TextBox 5"/>
        <xdr:cNvSpPr txBox="1"/>
      </xdr:nvSpPr>
      <xdr:spPr>
        <a:xfrm flipH="1">
          <a:off x="7762875" y="8801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125375" cy="264560"/>
    <xdr:sp macro="" textlink="">
      <xdr:nvSpPr>
        <xdr:cNvPr id="7" name="TextBox 6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125375" cy="264560"/>
    <xdr:sp macro="" textlink="">
      <xdr:nvSpPr>
        <xdr:cNvPr id="8" name="TextBox 7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125375" cy="264560"/>
    <xdr:sp macro="" textlink="">
      <xdr:nvSpPr>
        <xdr:cNvPr id="9" name="TextBox 8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125375" cy="264560"/>
    <xdr:sp macro="" textlink="">
      <xdr:nvSpPr>
        <xdr:cNvPr id="10" name="TextBox 9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125375" cy="264560"/>
    <xdr:sp macro="" textlink="">
      <xdr:nvSpPr>
        <xdr:cNvPr id="11" name="TextBox 10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125375" cy="264560"/>
    <xdr:sp macro="" textlink="">
      <xdr:nvSpPr>
        <xdr:cNvPr id="12" name="TextBox 11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125375" cy="264560"/>
    <xdr:sp macro="" textlink="">
      <xdr:nvSpPr>
        <xdr:cNvPr id="13" name="TextBox 12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125375" cy="264560"/>
    <xdr:sp macro="" textlink="">
      <xdr:nvSpPr>
        <xdr:cNvPr id="14" name="TextBox 13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66454" cy="264560"/>
    <xdr:sp macro="" textlink="">
      <xdr:nvSpPr>
        <xdr:cNvPr id="15" name="TextBox 14"/>
        <xdr:cNvSpPr txBox="1"/>
      </xdr:nvSpPr>
      <xdr:spPr>
        <a:xfrm flipH="1">
          <a:off x="7762875" y="8801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125375" cy="264560"/>
    <xdr:sp macro="" textlink="">
      <xdr:nvSpPr>
        <xdr:cNvPr id="16" name="TextBox 15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125375" cy="264560"/>
    <xdr:sp macro="" textlink="">
      <xdr:nvSpPr>
        <xdr:cNvPr id="17" name="TextBox 16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125375" cy="264560"/>
    <xdr:sp macro="" textlink="">
      <xdr:nvSpPr>
        <xdr:cNvPr id="18" name="TextBox 17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125375" cy="264560"/>
    <xdr:sp macro="" textlink="">
      <xdr:nvSpPr>
        <xdr:cNvPr id="19" name="TextBox 18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5" sqref="G25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226"/>
  <sheetViews>
    <sheetView topLeftCell="A191" workbookViewId="0">
      <selection activeCell="E196" sqref="E196"/>
    </sheetView>
  </sheetViews>
  <sheetFormatPr defaultRowHeight="15"/>
  <cols>
    <col min="1" max="1" width="8.85546875" customWidth="1"/>
    <col min="2" max="2" width="39.140625" customWidth="1"/>
    <col min="3" max="3" width="13.140625" customWidth="1"/>
    <col min="4" max="4" width="17" customWidth="1"/>
    <col min="5" max="5" width="15.7109375" customWidth="1"/>
    <col min="6" max="6" width="12.7109375" customWidth="1"/>
    <col min="7" max="7" width="9" customWidth="1"/>
    <col min="8" max="8" width="14.85546875" customWidth="1"/>
    <col min="9" max="9" width="17.5703125" customWidth="1"/>
    <col min="10" max="10" width="15.140625" customWidth="1"/>
    <col min="13" max="13" width="19.28515625" customWidth="1"/>
    <col min="14" max="14" width="17.5703125" customWidth="1"/>
  </cols>
  <sheetData>
    <row r="1" spans="1:14" ht="54" customHeight="1">
      <c r="A1" s="44" t="s">
        <v>226</v>
      </c>
      <c r="B1" s="44"/>
      <c r="C1" s="44"/>
      <c r="D1" s="44"/>
      <c r="E1" s="44"/>
      <c r="F1" s="44"/>
      <c r="G1" s="44"/>
      <c r="H1" s="44"/>
      <c r="I1" s="44"/>
    </row>
    <row r="2" spans="1:14" ht="42.75" customHeight="1">
      <c r="A2" s="45" t="s">
        <v>268</v>
      </c>
      <c r="B2" s="45"/>
      <c r="C2" s="45"/>
      <c r="D2" s="45"/>
      <c r="E2" s="45"/>
      <c r="F2" s="45"/>
      <c r="G2" s="45"/>
      <c r="H2" s="45"/>
      <c r="I2" s="45"/>
    </row>
    <row r="3" spans="1:14" ht="1.5" customHeight="1">
      <c r="A3" s="46"/>
      <c r="B3" s="46"/>
      <c r="C3" s="46"/>
      <c r="D3" s="31"/>
      <c r="E3" s="31"/>
      <c r="F3" s="31"/>
      <c r="G3" s="31"/>
      <c r="H3" s="31"/>
      <c r="I3" s="31"/>
    </row>
    <row r="4" spans="1:14" ht="18.75">
      <c r="A4" s="47" t="s">
        <v>0</v>
      </c>
      <c r="B4" s="50" t="s">
        <v>1</v>
      </c>
      <c r="C4" s="47" t="s">
        <v>217</v>
      </c>
      <c r="D4" s="53" t="s">
        <v>227</v>
      </c>
      <c r="E4" s="54"/>
      <c r="F4" s="54"/>
      <c r="G4" s="55"/>
      <c r="H4" s="56" t="s">
        <v>239</v>
      </c>
      <c r="I4" s="57"/>
    </row>
    <row r="5" spans="1:14" ht="15" customHeight="1">
      <c r="A5" s="48"/>
      <c r="B5" s="51"/>
      <c r="C5" s="48"/>
      <c r="D5" s="62" t="s">
        <v>240</v>
      </c>
      <c r="E5" s="62" t="s">
        <v>229</v>
      </c>
      <c r="F5" s="62" t="s">
        <v>219</v>
      </c>
      <c r="G5" s="62" t="s">
        <v>236</v>
      </c>
      <c r="H5" s="58"/>
      <c r="I5" s="59"/>
    </row>
    <row r="6" spans="1:14" ht="41.25" customHeight="1">
      <c r="A6" s="49"/>
      <c r="B6" s="52"/>
      <c r="C6" s="49"/>
      <c r="D6" s="63"/>
      <c r="E6" s="63"/>
      <c r="F6" s="63"/>
      <c r="G6" s="63"/>
      <c r="H6" s="60"/>
      <c r="I6" s="61"/>
    </row>
    <row r="7" spans="1:14" ht="15.7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68">
        <v>8</v>
      </c>
      <c r="I7" s="69"/>
    </row>
    <row r="8" spans="1:14" ht="39" customHeight="1">
      <c r="A8" s="33" t="s">
        <v>2</v>
      </c>
      <c r="B8" s="6" t="s">
        <v>3</v>
      </c>
      <c r="C8" s="33" t="s">
        <v>4</v>
      </c>
      <c r="D8" s="7">
        <f>D9+D87+D90+D92+D94</f>
        <v>709152.82200000004</v>
      </c>
      <c r="E8" s="7">
        <f>E9+E87+E90+E92+E94</f>
        <v>702796.34600000002</v>
      </c>
      <c r="F8" s="22">
        <f>E8-D8</f>
        <v>-6356.4760000000242</v>
      </c>
      <c r="G8" s="8">
        <f>F8/D8*100</f>
        <v>-0.89634783967623044</v>
      </c>
      <c r="H8" s="64"/>
      <c r="I8" s="65"/>
      <c r="N8" s="35"/>
    </row>
    <row r="9" spans="1:14" ht="17.25" customHeight="1">
      <c r="A9" s="33" t="s">
        <v>5</v>
      </c>
      <c r="B9" s="6" t="s">
        <v>6</v>
      </c>
      <c r="C9" s="33" t="s">
        <v>4</v>
      </c>
      <c r="D9" s="7">
        <f>D10+D37+D72</f>
        <v>363815.19099999999</v>
      </c>
      <c r="E9" s="7">
        <f>E10+E37+E72</f>
        <v>360084.93699999998</v>
      </c>
      <c r="F9" s="22">
        <f t="shared" ref="F9:F36" si="0">E9-D9</f>
        <v>-3730.2540000000154</v>
      </c>
      <c r="G9" s="8">
        <f t="shared" ref="G9:G72" si="1">F9/D9*100</f>
        <v>-1.0253156251521161</v>
      </c>
      <c r="H9" s="64"/>
      <c r="I9" s="65"/>
    </row>
    <row r="10" spans="1:14" ht="17.25" customHeight="1">
      <c r="A10" s="9" t="s">
        <v>7</v>
      </c>
      <c r="B10" s="10" t="s">
        <v>8</v>
      </c>
      <c r="C10" s="9" t="s">
        <v>4</v>
      </c>
      <c r="D10" s="11">
        <f>D11+D30+D35</f>
        <v>72373.531000000003</v>
      </c>
      <c r="E10" s="11">
        <f>E11+E30+E35</f>
        <v>72583.03899999999</v>
      </c>
      <c r="F10" s="17">
        <f t="shared" si="0"/>
        <v>209.50799999998708</v>
      </c>
      <c r="G10" s="12">
        <f>F10/D10*100</f>
        <v>0.28948152329335303</v>
      </c>
      <c r="H10" s="64"/>
      <c r="I10" s="65"/>
    </row>
    <row r="11" spans="1:14" ht="17.25" customHeight="1">
      <c r="A11" s="9" t="s">
        <v>9</v>
      </c>
      <c r="B11" s="10" t="s">
        <v>10</v>
      </c>
      <c r="C11" s="9" t="s">
        <v>4</v>
      </c>
      <c r="D11" s="11">
        <f>D12+D15+D18+D21+D24+D27</f>
        <v>57554.94</v>
      </c>
      <c r="E11" s="11">
        <f>E12+E15+E18+E21+E24+E27</f>
        <v>57061.228999999999</v>
      </c>
      <c r="F11" s="17">
        <f t="shared" si="0"/>
        <v>-493.71100000000297</v>
      </c>
      <c r="G11" s="12">
        <f t="shared" si="1"/>
        <v>-0.85780820899127497</v>
      </c>
      <c r="H11" s="64"/>
      <c r="I11" s="65"/>
    </row>
    <row r="12" spans="1:14" ht="29.25" customHeight="1">
      <c r="A12" s="9" t="s">
        <v>11</v>
      </c>
      <c r="B12" s="10" t="s">
        <v>12</v>
      </c>
      <c r="C12" s="9" t="s">
        <v>4</v>
      </c>
      <c r="D12" s="11">
        <v>13255.83</v>
      </c>
      <c r="E12" s="11">
        <v>12788.328</v>
      </c>
      <c r="F12" s="17">
        <f t="shared" si="0"/>
        <v>-467.50200000000041</v>
      </c>
      <c r="G12" s="12">
        <f t="shared" si="1"/>
        <v>-3.5267652044421243</v>
      </c>
      <c r="H12" s="66" t="s">
        <v>299</v>
      </c>
      <c r="I12" s="67"/>
    </row>
    <row r="13" spans="1:14" ht="17.25" customHeight="1">
      <c r="A13" s="9"/>
      <c r="B13" s="13" t="s">
        <v>13</v>
      </c>
      <c r="C13" s="14" t="s">
        <v>14</v>
      </c>
      <c r="D13" s="15">
        <v>48189</v>
      </c>
      <c r="E13" s="15">
        <v>46289</v>
      </c>
      <c r="F13" s="17">
        <f t="shared" si="0"/>
        <v>-1900</v>
      </c>
      <c r="G13" s="12">
        <f t="shared" si="1"/>
        <v>-3.942808524767063</v>
      </c>
      <c r="H13" s="64"/>
      <c r="I13" s="65"/>
    </row>
    <row r="14" spans="1:14" ht="17.25" customHeight="1">
      <c r="A14" s="16"/>
      <c r="B14" s="13" t="s">
        <v>15</v>
      </c>
      <c r="C14" s="14" t="s">
        <v>16</v>
      </c>
      <c r="D14" s="17">
        <f>D12/D13*1000</f>
        <v>275.07999750980514</v>
      </c>
      <c r="E14" s="17">
        <f>E12/E13*1000</f>
        <v>276.27142517660781</v>
      </c>
      <c r="F14" s="17">
        <f t="shared" si="0"/>
        <v>1.1914276668026673</v>
      </c>
      <c r="G14" s="12">
        <f t="shared" si="1"/>
        <v>0.4331204295434819</v>
      </c>
      <c r="H14" s="64"/>
      <c r="I14" s="65"/>
    </row>
    <row r="15" spans="1:14" ht="17.25" customHeight="1">
      <c r="A15" s="9" t="s">
        <v>17</v>
      </c>
      <c r="B15" s="10" t="s">
        <v>18</v>
      </c>
      <c r="C15" s="9" t="s">
        <v>4</v>
      </c>
      <c r="D15" s="11">
        <v>32087.861000000001</v>
      </c>
      <c r="E15" s="11">
        <v>32087.84</v>
      </c>
      <c r="F15" s="17">
        <f t="shared" si="0"/>
        <v>-2.1000000000640284E-2</v>
      </c>
      <c r="G15" s="12">
        <f t="shared" si="1"/>
        <v>-6.5445309678449057E-5</v>
      </c>
      <c r="H15" s="64"/>
      <c r="I15" s="65"/>
    </row>
    <row r="16" spans="1:14" ht="17.25" customHeight="1">
      <c r="A16" s="9"/>
      <c r="B16" s="13" t="s">
        <v>13</v>
      </c>
      <c r="C16" s="14" t="s">
        <v>14</v>
      </c>
      <c r="D16" s="15">
        <v>208000</v>
      </c>
      <c r="E16" s="15">
        <v>208000</v>
      </c>
      <c r="F16" s="17">
        <f t="shared" si="0"/>
        <v>0</v>
      </c>
      <c r="G16" s="12">
        <f t="shared" si="1"/>
        <v>0</v>
      </c>
      <c r="H16" s="64"/>
      <c r="I16" s="65"/>
    </row>
    <row r="17" spans="1:9" ht="17.25" customHeight="1">
      <c r="A17" s="9"/>
      <c r="B17" s="13" t="s">
        <v>15</v>
      </c>
      <c r="C17" s="14" t="s">
        <v>16</v>
      </c>
      <c r="D17" s="17">
        <f>D15/D16*1000</f>
        <v>154.2685625</v>
      </c>
      <c r="E17" s="17">
        <f>E15/E16*1000</f>
        <v>154.26846153846154</v>
      </c>
      <c r="F17" s="17">
        <f t="shared" si="0"/>
        <v>-1.0096153846461675E-4</v>
      </c>
      <c r="G17" s="12">
        <f t="shared" si="1"/>
        <v>-6.544530967844907E-5</v>
      </c>
      <c r="H17" s="64"/>
      <c r="I17" s="65"/>
    </row>
    <row r="18" spans="1:9" ht="17.25" customHeight="1">
      <c r="A18" s="9" t="s">
        <v>19</v>
      </c>
      <c r="B18" s="10" t="s">
        <v>20</v>
      </c>
      <c r="C18" s="9" t="s">
        <v>4</v>
      </c>
      <c r="D18" s="11">
        <v>864</v>
      </c>
      <c r="E18" s="11">
        <v>822.96</v>
      </c>
      <c r="F18" s="17">
        <f t="shared" si="0"/>
        <v>-41.039999999999964</v>
      </c>
      <c r="G18" s="12">
        <f t="shared" si="1"/>
        <v>-4.7499999999999956</v>
      </c>
      <c r="H18" s="64"/>
      <c r="I18" s="65"/>
    </row>
    <row r="19" spans="1:9" ht="17.25" customHeight="1">
      <c r="A19" s="9"/>
      <c r="B19" s="13" t="s">
        <v>13</v>
      </c>
      <c r="C19" s="14" t="s">
        <v>14</v>
      </c>
      <c r="D19" s="15">
        <v>2000</v>
      </c>
      <c r="E19" s="15">
        <v>1905</v>
      </c>
      <c r="F19" s="17">
        <f t="shared" si="0"/>
        <v>-95</v>
      </c>
      <c r="G19" s="12">
        <f t="shared" si="1"/>
        <v>-4.75</v>
      </c>
      <c r="H19" s="64"/>
      <c r="I19" s="65"/>
    </row>
    <row r="20" spans="1:9" ht="17.25" customHeight="1">
      <c r="A20" s="9"/>
      <c r="B20" s="13" t="s">
        <v>15</v>
      </c>
      <c r="C20" s="14" t="s">
        <v>16</v>
      </c>
      <c r="D20" s="17">
        <f>D18/D19*1000</f>
        <v>432</v>
      </c>
      <c r="E20" s="17">
        <f>E18/E19*1000</f>
        <v>432</v>
      </c>
      <c r="F20" s="17">
        <f t="shared" si="0"/>
        <v>0</v>
      </c>
      <c r="G20" s="12">
        <f t="shared" si="1"/>
        <v>0</v>
      </c>
      <c r="H20" s="64"/>
      <c r="I20" s="65"/>
    </row>
    <row r="21" spans="1:9" ht="17.25" customHeight="1">
      <c r="A21" s="9" t="s">
        <v>21</v>
      </c>
      <c r="B21" s="10" t="s">
        <v>22</v>
      </c>
      <c r="C21" s="9" t="s">
        <v>4</v>
      </c>
      <c r="D21" s="11">
        <v>9011.2489999999998</v>
      </c>
      <c r="E21" s="11">
        <v>9026.1010000000006</v>
      </c>
      <c r="F21" s="17">
        <f t="shared" si="0"/>
        <v>14.852000000000771</v>
      </c>
      <c r="G21" s="12">
        <f t="shared" si="1"/>
        <v>0.16481622025981937</v>
      </c>
      <c r="H21" s="64"/>
      <c r="I21" s="65"/>
    </row>
    <row r="22" spans="1:9" ht="17.25" customHeight="1">
      <c r="A22" s="9"/>
      <c r="B22" s="13" t="s">
        <v>13</v>
      </c>
      <c r="C22" s="14" t="s">
        <v>14</v>
      </c>
      <c r="D22" s="15">
        <v>65000</v>
      </c>
      <c r="E22" s="15">
        <v>65094</v>
      </c>
      <c r="F22" s="17">
        <f t="shared" si="0"/>
        <v>94</v>
      </c>
      <c r="G22" s="12">
        <f t="shared" si="1"/>
        <v>0.14461538461538462</v>
      </c>
      <c r="H22" s="64"/>
      <c r="I22" s="65"/>
    </row>
    <row r="23" spans="1:9" ht="17.25" customHeight="1">
      <c r="A23" s="9"/>
      <c r="B23" s="13" t="s">
        <v>15</v>
      </c>
      <c r="C23" s="14" t="s">
        <v>16</v>
      </c>
      <c r="D23" s="17">
        <f>D21/D22*1000</f>
        <v>138.63460000000001</v>
      </c>
      <c r="E23" s="17">
        <f>E21/E22*1000</f>
        <v>138.66256490613574</v>
      </c>
      <c r="F23" s="17">
        <f t="shared" si="0"/>
        <v>2.7964906135736101E-2</v>
      </c>
      <c r="G23" s="12">
        <f t="shared" si="1"/>
        <v>2.0171664314490106E-2</v>
      </c>
      <c r="H23" s="64"/>
      <c r="I23" s="65"/>
    </row>
    <row r="24" spans="1:9" ht="17.25" hidden="1" customHeight="1">
      <c r="A24" s="9" t="s">
        <v>23</v>
      </c>
      <c r="B24" s="10" t="s">
        <v>24</v>
      </c>
      <c r="C24" s="9" t="s">
        <v>4</v>
      </c>
      <c r="D24" s="11">
        <v>0</v>
      </c>
      <c r="E24" s="11">
        <v>0</v>
      </c>
      <c r="F24" s="17">
        <f t="shared" si="0"/>
        <v>0</v>
      </c>
      <c r="G24" s="12" t="e">
        <f t="shared" si="1"/>
        <v>#DIV/0!</v>
      </c>
      <c r="H24" s="64"/>
      <c r="I24" s="65"/>
    </row>
    <row r="25" spans="1:9" ht="17.25" hidden="1" customHeight="1">
      <c r="A25" s="9"/>
      <c r="B25" s="13" t="s">
        <v>13</v>
      </c>
      <c r="C25" s="14" t="s">
        <v>14</v>
      </c>
      <c r="D25" s="15">
        <v>0</v>
      </c>
      <c r="E25" s="15">
        <v>0</v>
      </c>
      <c r="F25" s="17">
        <f t="shared" si="0"/>
        <v>0</v>
      </c>
      <c r="G25" s="12" t="e">
        <f t="shared" si="1"/>
        <v>#DIV/0!</v>
      </c>
      <c r="H25" s="64"/>
      <c r="I25" s="65"/>
    </row>
    <row r="26" spans="1:9" ht="17.25" hidden="1" customHeight="1">
      <c r="A26" s="9"/>
      <c r="B26" s="13" t="s">
        <v>15</v>
      </c>
      <c r="C26" s="14" t="s">
        <v>16</v>
      </c>
      <c r="D26" s="17"/>
      <c r="E26" s="17"/>
      <c r="F26" s="17"/>
      <c r="G26" s="12" t="e">
        <f t="shared" si="1"/>
        <v>#DIV/0!</v>
      </c>
      <c r="H26" s="64"/>
      <c r="I26" s="65"/>
    </row>
    <row r="27" spans="1:9" ht="17.25" customHeight="1">
      <c r="A27" s="9" t="s">
        <v>23</v>
      </c>
      <c r="B27" s="10" t="s">
        <v>25</v>
      </c>
      <c r="C27" s="9" t="s">
        <v>4</v>
      </c>
      <c r="D27" s="11">
        <v>2336</v>
      </c>
      <c r="E27" s="11">
        <v>2336</v>
      </c>
      <c r="F27" s="17">
        <f t="shared" si="0"/>
        <v>0</v>
      </c>
      <c r="G27" s="12">
        <f t="shared" si="1"/>
        <v>0</v>
      </c>
      <c r="H27" s="64"/>
      <c r="I27" s="65"/>
    </row>
    <row r="28" spans="1:9" ht="17.25" customHeight="1">
      <c r="A28" s="9"/>
      <c r="B28" s="13" t="s">
        <v>13</v>
      </c>
      <c r="C28" s="14" t="s">
        <v>14</v>
      </c>
      <c r="D28" s="15">
        <v>2920</v>
      </c>
      <c r="E28" s="15">
        <v>2920</v>
      </c>
      <c r="F28" s="17">
        <f t="shared" si="0"/>
        <v>0</v>
      </c>
      <c r="G28" s="12">
        <f t="shared" si="1"/>
        <v>0</v>
      </c>
      <c r="H28" s="64"/>
      <c r="I28" s="65"/>
    </row>
    <row r="29" spans="1:9" ht="17.25" customHeight="1">
      <c r="A29" s="9"/>
      <c r="B29" s="13" t="s">
        <v>15</v>
      </c>
      <c r="C29" s="14" t="s">
        <v>16</v>
      </c>
      <c r="D29" s="17">
        <f>D27/D28*1000</f>
        <v>800</v>
      </c>
      <c r="E29" s="17">
        <f>E27/E28*1000</f>
        <v>800</v>
      </c>
      <c r="F29" s="17">
        <f t="shared" si="0"/>
        <v>0</v>
      </c>
      <c r="G29" s="12">
        <f t="shared" si="1"/>
        <v>0</v>
      </c>
      <c r="H29" s="64"/>
      <c r="I29" s="65"/>
    </row>
    <row r="30" spans="1:9" ht="17.25" customHeight="1">
      <c r="A30" s="19" t="s">
        <v>26</v>
      </c>
      <c r="B30" s="10" t="s">
        <v>27</v>
      </c>
      <c r="C30" s="9" t="s">
        <v>4</v>
      </c>
      <c r="D30" s="11">
        <f t="shared" ref="D30:F30" si="2">D31+D32+D33+D34</f>
        <v>12803.45</v>
      </c>
      <c r="E30" s="11">
        <f t="shared" si="2"/>
        <v>13483.279999999999</v>
      </c>
      <c r="F30" s="17">
        <f t="shared" si="2"/>
        <v>679.82999999999936</v>
      </c>
      <c r="G30" s="12">
        <f t="shared" si="1"/>
        <v>5.3097407339427996</v>
      </c>
      <c r="H30" s="64"/>
      <c r="I30" s="65"/>
    </row>
    <row r="31" spans="1:9" ht="35.25" customHeight="1">
      <c r="A31" s="19" t="s">
        <v>28</v>
      </c>
      <c r="B31" s="10" t="s">
        <v>29</v>
      </c>
      <c r="C31" s="9" t="s">
        <v>4</v>
      </c>
      <c r="D31" s="11">
        <v>11697.1</v>
      </c>
      <c r="E31" s="11">
        <v>12285.704</v>
      </c>
      <c r="F31" s="17">
        <f t="shared" si="0"/>
        <v>588.60399999999936</v>
      </c>
      <c r="G31" s="12">
        <f t="shared" si="1"/>
        <v>5.0320506792281794</v>
      </c>
      <c r="H31" s="64"/>
      <c r="I31" s="65"/>
    </row>
    <row r="32" spans="1:9" ht="51.75" customHeight="1">
      <c r="A32" s="19" t="s">
        <v>30</v>
      </c>
      <c r="B32" s="10" t="s">
        <v>31</v>
      </c>
      <c r="C32" s="9" t="s">
        <v>4</v>
      </c>
      <c r="D32" s="11">
        <v>587.46199999999999</v>
      </c>
      <c r="E32" s="11">
        <v>686.47</v>
      </c>
      <c r="F32" s="17">
        <f t="shared" si="0"/>
        <v>99.008000000000038</v>
      </c>
      <c r="G32" s="12">
        <f t="shared" si="1"/>
        <v>16.853515631649373</v>
      </c>
      <c r="H32" s="66" t="s">
        <v>287</v>
      </c>
      <c r="I32" s="67"/>
    </row>
    <row r="33" spans="1:9" ht="17.25" customHeight="1">
      <c r="A33" s="19" t="s">
        <v>32</v>
      </c>
      <c r="B33" s="10" t="s">
        <v>33</v>
      </c>
      <c r="C33" s="9" t="s">
        <v>4</v>
      </c>
      <c r="D33" s="11">
        <v>304.09199999999998</v>
      </c>
      <c r="E33" s="11">
        <v>307.08499999999998</v>
      </c>
      <c r="F33" s="17">
        <f t="shared" si="0"/>
        <v>2.992999999999995</v>
      </c>
      <c r="G33" s="12">
        <f t="shared" si="1"/>
        <v>0.98424161109137864</v>
      </c>
      <c r="H33" s="64"/>
      <c r="I33" s="65"/>
    </row>
    <row r="34" spans="1:9" ht="33" customHeight="1">
      <c r="A34" s="19" t="s">
        <v>34</v>
      </c>
      <c r="B34" s="10" t="s">
        <v>35</v>
      </c>
      <c r="C34" s="9" t="s">
        <v>4</v>
      </c>
      <c r="D34" s="11">
        <v>214.79599999999999</v>
      </c>
      <c r="E34" s="11">
        <v>204.02099999999999</v>
      </c>
      <c r="F34" s="17">
        <f t="shared" si="0"/>
        <v>-10.775000000000006</v>
      </c>
      <c r="G34" s="12">
        <f t="shared" si="1"/>
        <v>-5.0163876422279774</v>
      </c>
      <c r="H34" s="64"/>
      <c r="I34" s="65"/>
    </row>
    <row r="35" spans="1:9" ht="17.25" customHeight="1">
      <c r="A35" s="19" t="s">
        <v>36</v>
      </c>
      <c r="B35" s="10" t="s">
        <v>37</v>
      </c>
      <c r="C35" s="9" t="s">
        <v>4</v>
      </c>
      <c r="D35" s="11">
        <f t="shared" ref="D35:F35" si="3">D36</f>
        <v>2015.1410000000001</v>
      </c>
      <c r="E35" s="11">
        <f t="shared" si="3"/>
        <v>2038.53</v>
      </c>
      <c r="F35" s="17">
        <f t="shared" si="3"/>
        <v>23.388999999999896</v>
      </c>
      <c r="G35" s="12">
        <f t="shared" si="1"/>
        <v>1.1606631992500722</v>
      </c>
      <c r="H35" s="64"/>
      <c r="I35" s="65"/>
    </row>
    <row r="36" spans="1:9" ht="17.25" customHeight="1">
      <c r="A36" s="9" t="s">
        <v>38</v>
      </c>
      <c r="B36" s="10" t="s">
        <v>39</v>
      </c>
      <c r="C36" s="9" t="s">
        <v>4</v>
      </c>
      <c r="D36" s="11">
        <v>2015.1410000000001</v>
      </c>
      <c r="E36" s="11">
        <v>2038.53</v>
      </c>
      <c r="F36" s="17">
        <f t="shared" si="0"/>
        <v>23.388999999999896</v>
      </c>
      <c r="G36" s="12">
        <f t="shared" si="1"/>
        <v>1.1606631992500722</v>
      </c>
      <c r="H36" s="64"/>
      <c r="I36" s="65"/>
    </row>
    <row r="37" spans="1:9" ht="17.25" customHeight="1">
      <c r="A37" s="19" t="s">
        <v>40</v>
      </c>
      <c r="B37" s="10" t="s">
        <v>41</v>
      </c>
      <c r="C37" s="9" t="s">
        <v>4</v>
      </c>
      <c r="D37" s="11">
        <f>D38+D41+D48+D51+0.278</f>
        <v>15598.1</v>
      </c>
      <c r="E37" s="11">
        <f t="shared" ref="E37" si="4">E38+E41+E48+E51</f>
        <v>15446.772000000001</v>
      </c>
      <c r="F37" s="17">
        <f>E37-D37</f>
        <v>-151.32799999999952</v>
      </c>
      <c r="G37" s="12">
        <f t="shared" si="1"/>
        <v>-0.97016944371429537</v>
      </c>
      <c r="H37" s="64"/>
      <c r="I37" s="65"/>
    </row>
    <row r="38" spans="1:9" ht="17.25" customHeight="1">
      <c r="A38" s="19" t="s">
        <v>42</v>
      </c>
      <c r="B38" s="10" t="s">
        <v>43</v>
      </c>
      <c r="C38" s="9" t="s">
        <v>4</v>
      </c>
      <c r="D38" s="11">
        <v>5719.87</v>
      </c>
      <c r="E38" s="11">
        <v>5719.8760000000002</v>
      </c>
      <c r="F38" s="17">
        <f>E38-D38</f>
        <v>6.0000000003128662E-3</v>
      </c>
      <c r="G38" s="12">
        <f t="shared" si="1"/>
        <v>1.04897488934414E-4</v>
      </c>
      <c r="H38" s="64"/>
      <c r="I38" s="65"/>
    </row>
    <row r="39" spans="1:9" ht="17.25" customHeight="1">
      <c r="A39" s="9"/>
      <c r="B39" s="13" t="s">
        <v>13</v>
      </c>
      <c r="C39" s="14" t="s">
        <v>44</v>
      </c>
      <c r="D39" s="15">
        <v>842</v>
      </c>
      <c r="E39" s="15">
        <v>842</v>
      </c>
      <c r="F39" s="17">
        <f t="shared" ref="F39:F71" si="5">E39-D39</f>
        <v>0</v>
      </c>
      <c r="G39" s="12">
        <f t="shared" si="1"/>
        <v>0</v>
      </c>
      <c r="H39" s="64"/>
      <c r="I39" s="65"/>
    </row>
    <row r="40" spans="1:9" ht="17.25" customHeight="1">
      <c r="A40" s="9"/>
      <c r="B40" s="13" t="s">
        <v>15</v>
      </c>
      <c r="C40" s="14" t="s">
        <v>16</v>
      </c>
      <c r="D40" s="17">
        <f>D38/D39*1000</f>
        <v>6793.1947743467936</v>
      </c>
      <c r="E40" s="17">
        <f>E38/E39*1000</f>
        <v>6793.20190023753</v>
      </c>
      <c r="F40" s="17">
        <f t="shared" si="5"/>
        <v>7.1258907364608604E-3</v>
      </c>
      <c r="G40" s="12">
        <f t="shared" si="1"/>
        <v>1.0489748893069325E-4</v>
      </c>
      <c r="H40" s="64"/>
      <c r="I40" s="65"/>
    </row>
    <row r="41" spans="1:9" ht="17.25" customHeight="1">
      <c r="A41" s="19" t="s">
        <v>45</v>
      </c>
      <c r="B41" s="10" t="s">
        <v>46</v>
      </c>
      <c r="C41" s="9" t="s">
        <v>4</v>
      </c>
      <c r="D41" s="11">
        <f t="shared" ref="D41:E41" si="6">D42+D45</f>
        <v>2918.864</v>
      </c>
      <c r="E41" s="11">
        <f t="shared" si="6"/>
        <v>2833.8739999999998</v>
      </c>
      <c r="F41" s="17">
        <f t="shared" si="5"/>
        <v>-84.990000000000236</v>
      </c>
      <c r="G41" s="12">
        <f t="shared" si="1"/>
        <v>-2.9117492284669733</v>
      </c>
      <c r="H41" s="64"/>
      <c r="I41" s="65"/>
    </row>
    <row r="42" spans="1:9" ht="16.5" customHeight="1">
      <c r="A42" s="9"/>
      <c r="B42" s="10" t="s">
        <v>47</v>
      </c>
      <c r="C42" s="9" t="s">
        <v>4</v>
      </c>
      <c r="D42" s="11">
        <v>1558.0740000000001</v>
      </c>
      <c r="E42" s="11">
        <v>1420.915</v>
      </c>
      <c r="F42" s="17">
        <f>E42-D42</f>
        <v>-137.15900000000011</v>
      </c>
      <c r="G42" s="12">
        <f t="shared" si="1"/>
        <v>-8.803112047309698</v>
      </c>
      <c r="H42" s="70" t="s">
        <v>288</v>
      </c>
      <c r="I42" s="71"/>
    </row>
    <row r="43" spans="1:9" ht="17.25" customHeight="1">
      <c r="A43" s="9"/>
      <c r="B43" s="13" t="s">
        <v>48</v>
      </c>
      <c r="C43" s="14" t="s">
        <v>49</v>
      </c>
      <c r="D43" s="15">
        <v>19947</v>
      </c>
      <c r="E43" s="15">
        <v>18222</v>
      </c>
      <c r="F43" s="17">
        <f t="shared" si="5"/>
        <v>-1725</v>
      </c>
      <c r="G43" s="12">
        <f t="shared" si="1"/>
        <v>-8.6479169799969924</v>
      </c>
      <c r="H43" s="72"/>
      <c r="I43" s="73"/>
    </row>
    <row r="44" spans="1:9" ht="17.25" customHeight="1">
      <c r="A44" s="9"/>
      <c r="B44" s="13" t="s">
        <v>15</v>
      </c>
      <c r="C44" s="14" t="s">
        <v>16</v>
      </c>
      <c r="D44" s="17">
        <f>D42/D43*1000</f>
        <v>78.11069333734396</v>
      </c>
      <c r="E44" s="17">
        <f>E42/E43*1000</f>
        <v>77.97799363406871</v>
      </c>
      <c r="F44" s="17">
        <f t="shared" si="5"/>
        <v>-0.13269970327525016</v>
      </c>
      <c r="G44" s="12">
        <f t="shared" si="1"/>
        <v>-0.16988673074779601</v>
      </c>
      <c r="H44" s="64"/>
      <c r="I44" s="65"/>
    </row>
    <row r="45" spans="1:9" ht="17.25" customHeight="1">
      <c r="A45" s="9"/>
      <c r="B45" s="20" t="s">
        <v>50</v>
      </c>
      <c r="C45" s="9" t="s">
        <v>4</v>
      </c>
      <c r="D45" s="11">
        <v>1360.79</v>
      </c>
      <c r="E45" s="11">
        <v>1412.9590000000001</v>
      </c>
      <c r="F45" s="17">
        <f>E45-D45</f>
        <v>52.169000000000096</v>
      </c>
      <c r="G45" s="12">
        <f t="shared" si="1"/>
        <v>3.833728936867562</v>
      </c>
      <c r="H45" s="64"/>
      <c r="I45" s="65"/>
    </row>
    <row r="46" spans="1:9" ht="17.25" customHeight="1">
      <c r="A46" s="9"/>
      <c r="B46" s="13" t="s">
        <v>51</v>
      </c>
      <c r="C46" s="14" t="s">
        <v>49</v>
      </c>
      <c r="D46" s="15">
        <v>12000</v>
      </c>
      <c r="E46" s="15">
        <v>12430</v>
      </c>
      <c r="F46" s="17">
        <f t="shared" si="5"/>
        <v>430</v>
      </c>
      <c r="G46" s="12">
        <f t="shared" si="1"/>
        <v>3.5833333333333335</v>
      </c>
      <c r="H46" s="64"/>
      <c r="I46" s="65"/>
    </row>
    <row r="47" spans="1:9" ht="17.25" customHeight="1">
      <c r="A47" s="9"/>
      <c r="B47" s="13" t="s">
        <v>15</v>
      </c>
      <c r="C47" s="14" t="s">
        <v>16</v>
      </c>
      <c r="D47" s="17">
        <f>D45/D46*1000</f>
        <v>113.39916666666666</v>
      </c>
      <c r="E47" s="17">
        <f>E45/E46*1000</f>
        <v>113.67329042638778</v>
      </c>
      <c r="F47" s="17">
        <f t="shared" si="5"/>
        <v>0.27412375972112102</v>
      </c>
      <c r="G47" s="12">
        <f t="shared" si="1"/>
        <v>0.24173348691961674</v>
      </c>
      <c r="H47" s="64"/>
      <c r="I47" s="65"/>
    </row>
    <row r="48" spans="1:9" ht="17.25" customHeight="1">
      <c r="A48" s="19" t="s">
        <v>52</v>
      </c>
      <c r="B48" s="10" t="s">
        <v>53</v>
      </c>
      <c r="C48" s="9" t="s">
        <v>4</v>
      </c>
      <c r="D48" s="11">
        <v>6254.6040000000003</v>
      </c>
      <c r="E48" s="11">
        <v>6135.97</v>
      </c>
      <c r="F48" s="17">
        <f>E48-D48</f>
        <v>-118.63400000000001</v>
      </c>
      <c r="G48" s="12">
        <f t="shared" si="1"/>
        <v>-1.8967467804516482</v>
      </c>
      <c r="H48" s="64"/>
      <c r="I48" s="65"/>
    </row>
    <row r="49" spans="1:9" ht="17.25" customHeight="1">
      <c r="A49" s="9"/>
      <c r="B49" s="13" t="s">
        <v>13</v>
      </c>
      <c r="C49" s="14" t="s">
        <v>49</v>
      </c>
      <c r="D49" s="15">
        <v>62521</v>
      </c>
      <c r="E49" s="15">
        <v>59370</v>
      </c>
      <c r="F49" s="17">
        <f t="shared" si="5"/>
        <v>-3151</v>
      </c>
      <c r="G49" s="12">
        <f t="shared" si="1"/>
        <v>-5.0399065913852947</v>
      </c>
      <c r="H49" s="64"/>
      <c r="I49" s="65"/>
    </row>
    <row r="50" spans="1:9" ht="17.25" customHeight="1">
      <c r="A50" s="9"/>
      <c r="B50" s="13" t="s">
        <v>15</v>
      </c>
      <c r="C50" s="14" t="s">
        <v>16</v>
      </c>
      <c r="D50" s="17">
        <f>D48/D49*1000</f>
        <v>100.04005054301756</v>
      </c>
      <c r="E50" s="17">
        <f>E48/E49*1000</f>
        <v>103.35135590365505</v>
      </c>
      <c r="F50" s="17">
        <f t="shared" si="5"/>
        <v>3.3113053606374905</v>
      </c>
      <c r="G50" s="12">
        <f t="shared" si="1"/>
        <v>3.3099796957955534</v>
      </c>
      <c r="H50" s="64"/>
      <c r="I50" s="65"/>
    </row>
    <row r="51" spans="1:9" ht="17.25" customHeight="1">
      <c r="A51" s="19" t="s">
        <v>54</v>
      </c>
      <c r="B51" s="21" t="s">
        <v>55</v>
      </c>
      <c r="C51" s="9" t="s">
        <v>4</v>
      </c>
      <c r="D51" s="11">
        <f t="shared" ref="D51:E52" si="7">D54+D57+D60+D63+D66+D69</f>
        <v>704.48400000000004</v>
      </c>
      <c r="E51" s="11">
        <f t="shared" si="7"/>
        <v>757.05200000000002</v>
      </c>
      <c r="F51" s="17">
        <f>E51-D51</f>
        <v>52.567999999999984</v>
      </c>
      <c r="G51" s="12">
        <f t="shared" si="1"/>
        <v>7.4619153877163971</v>
      </c>
      <c r="H51" s="64"/>
      <c r="I51" s="65"/>
    </row>
    <row r="52" spans="1:9" ht="17.25" customHeight="1">
      <c r="A52" s="9"/>
      <c r="B52" s="20" t="s">
        <v>13</v>
      </c>
      <c r="C52" s="14" t="s">
        <v>49</v>
      </c>
      <c r="D52" s="15">
        <f t="shared" si="7"/>
        <v>1616</v>
      </c>
      <c r="E52" s="15">
        <f t="shared" si="7"/>
        <v>1998</v>
      </c>
      <c r="F52" s="17">
        <f t="shared" si="5"/>
        <v>382</v>
      </c>
      <c r="G52" s="12">
        <f t="shared" si="1"/>
        <v>23.638613861386137</v>
      </c>
      <c r="H52" s="64"/>
      <c r="I52" s="65"/>
    </row>
    <row r="53" spans="1:9" ht="17.25" customHeight="1">
      <c r="A53" s="9"/>
      <c r="B53" s="20" t="s">
        <v>15</v>
      </c>
      <c r="C53" s="14" t="s">
        <v>16</v>
      </c>
      <c r="D53" s="17">
        <f>D51/D52*1000</f>
        <v>435.94306930693074</v>
      </c>
      <c r="E53" s="17">
        <f>E51/E52*1000</f>
        <v>378.90490490490492</v>
      </c>
      <c r="F53" s="17">
        <f t="shared" si="5"/>
        <v>-57.038164402025814</v>
      </c>
      <c r="G53" s="12">
        <f t="shared" si="1"/>
        <v>-13.083856222948102</v>
      </c>
      <c r="H53" s="64"/>
      <c r="I53" s="65"/>
    </row>
    <row r="54" spans="1:9" ht="17.25" customHeight="1">
      <c r="A54" s="9"/>
      <c r="B54" s="21" t="s">
        <v>56</v>
      </c>
      <c r="C54" s="9" t="s">
        <v>4</v>
      </c>
      <c r="D54" s="11">
        <v>152.44399999999999</v>
      </c>
      <c r="E54" s="11">
        <v>122.372</v>
      </c>
      <c r="F54" s="17">
        <f>E54-D54</f>
        <v>-30.071999999999989</v>
      </c>
      <c r="G54" s="12">
        <f t="shared" si="1"/>
        <v>-19.726588124163623</v>
      </c>
      <c r="H54" s="64"/>
      <c r="I54" s="65"/>
    </row>
    <row r="55" spans="1:9" ht="17.25" customHeight="1">
      <c r="A55" s="9"/>
      <c r="B55" s="13" t="s">
        <v>13</v>
      </c>
      <c r="C55" s="14" t="s">
        <v>49</v>
      </c>
      <c r="D55" s="15">
        <v>201</v>
      </c>
      <c r="E55" s="15">
        <v>227</v>
      </c>
      <c r="F55" s="17">
        <f t="shared" si="5"/>
        <v>26</v>
      </c>
      <c r="G55" s="12">
        <f t="shared" si="1"/>
        <v>12.935323383084576</v>
      </c>
      <c r="H55" s="64"/>
      <c r="I55" s="65"/>
    </row>
    <row r="56" spans="1:9" ht="17.25" customHeight="1">
      <c r="A56" s="9"/>
      <c r="B56" s="13" t="s">
        <v>15</v>
      </c>
      <c r="C56" s="14" t="s">
        <v>16</v>
      </c>
      <c r="D56" s="17">
        <f>D54/D55*1000</f>
        <v>758.42786069651731</v>
      </c>
      <c r="E56" s="17">
        <f>E54/E55*1000</f>
        <v>539.08370044052867</v>
      </c>
      <c r="F56" s="17">
        <f t="shared" si="5"/>
        <v>-219.34416025598864</v>
      </c>
      <c r="G56" s="12">
        <f t="shared" si="1"/>
        <v>-28.920899616550155</v>
      </c>
      <c r="H56" s="64"/>
      <c r="I56" s="65"/>
    </row>
    <row r="57" spans="1:9" ht="17.25" customHeight="1">
      <c r="A57" s="9"/>
      <c r="B57" s="21" t="s">
        <v>57</v>
      </c>
      <c r="C57" s="9" t="s">
        <v>4</v>
      </c>
      <c r="D57" s="11">
        <v>156.08799999999999</v>
      </c>
      <c r="E57" s="11">
        <v>185.57400000000001</v>
      </c>
      <c r="F57" s="17">
        <f>E57-D57</f>
        <v>29.486000000000018</v>
      </c>
      <c r="G57" s="12">
        <f t="shared" si="1"/>
        <v>18.890625800830314</v>
      </c>
      <c r="H57" s="70" t="s">
        <v>293</v>
      </c>
      <c r="I57" s="71"/>
    </row>
    <row r="58" spans="1:9" ht="17.25" customHeight="1">
      <c r="A58" s="9"/>
      <c r="B58" s="13" t="s">
        <v>13</v>
      </c>
      <c r="C58" s="14" t="s">
        <v>49</v>
      </c>
      <c r="D58" s="15">
        <v>529</v>
      </c>
      <c r="E58" s="15">
        <v>612</v>
      </c>
      <c r="F58" s="17">
        <f t="shared" si="5"/>
        <v>83</v>
      </c>
      <c r="G58" s="12">
        <f t="shared" si="1"/>
        <v>15.689981096408317</v>
      </c>
      <c r="H58" s="72"/>
      <c r="I58" s="73"/>
    </row>
    <row r="59" spans="1:9" ht="17.25" customHeight="1">
      <c r="A59" s="9"/>
      <c r="B59" s="13" t="s">
        <v>15</v>
      </c>
      <c r="C59" s="14" t="s">
        <v>16</v>
      </c>
      <c r="D59" s="17">
        <f>D57/D58*1000</f>
        <v>295.06238185255194</v>
      </c>
      <c r="E59" s="17">
        <f>E57/E58*1000</f>
        <v>303.22549019607845</v>
      </c>
      <c r="F59" s="17">
        <f t="shared" si="5"/>
        <v>8.1631083435265168</v>
      </c>
      <c r="G59" s="12">
        <f t="shared" si="1"/>
        <v>2.7665703409137974</v>
      </c>
      <c r="H59" s="64"/>
      <c r="I59" s="65"/>
    </row>
    <row r="60" spans="1:9" ht="17.25" customHeight="1">
      <c r="A60" s="9"/>
      <c r="B60" s="21" t="s">
        <v>58</v>
      </c>
      <c r="C60" s="9" t="s">
        <v>4</v>
      </c>
      <c r="D60" s="11">
        <v>210.578</v>
      </c>
      <c r="E60" s="11">
        <v>267.96800000000002</v>
      </c>
      <c r="F60" s="17">
        <f>E60-D60</f>
        <v>57.390000000000015</v>
      </c>
      <c r="G60" s="12">
        <f t="shared" si="1"/>
        <v>27.253559251203836</v>
      </c>
      <c r="H60" s="70" t="s">
        <v>293</v>
      </c>
      <c r="I60" s="71"/>
    </row>
    <row r="61" spans="1:9" ht="17.25" customHeight="1">
      <c r="A61" s="9"/>
      <c r="B61" s="13" t="s">
        <v>13</v>
      </c>
      <c r="C61" s="14" t="s">
        <v>49</v>
      </c>
      <c r="D61" s="15">
        <v>519</v>
      </c>
      <c r="E61" s="15">
        <v>773</v>
      </c>
      <c r="F61" s="17">
        <f t="shared" si="5"/>
        <v>254</v>
      </c>
      <c r="G61" s="12">
        <f t="shared" si="1"/>
        <v>48.940269749518308</v>
      </c>
      <c r="H61" s="72"/>
      <c r="I61" s="73"/>
    </row>
    <row r="62" spans="1:9" ht="17.25" customHeight="1">
      <c r="A62" s="9"/>
      <c r="B62" s="13" t="s">
        <v>15</v>
      </c>
      <c r="C62" s="14" t="s">
        <v>16</v>
      </c>
      <c r="D62" s="17">
        <f>D60/D61*1000</f>
        <v>405.73795761079003</v>
      </c>
      <c r="E62" s="17">
        <f>E60/E61*1000</f>
        <v>346.65976714100913</v>
      </c>
      <c r="F62" s="17">
        <f t="shared" si="5"/>
        <v>-59.078190469780907</v>
      </c>
      <c r="G62" s="12">
        <f t="shared" si="1"/>
        <v>-14.560676259541019</v>
      </c>
      <c r="H62" s="64"/>
      <c r="I62" s="65"/>
    </row>
    <row r="63" spans="1:9" ht="17.25" customHeight="1">
      <c r="A63" s="9"/>
      <c r="B63" s="21" t="s">
        <v>220</v>
      </c>
      <c r="C63" s="9" t="s">
        <v>4</v>
      </c>
      <c r="D63" s="11">
        <v>48.533000000000001</v>
      </c>
      <c r="E63" s="11">
        <v>31.623000000000001</v>
      </c>
      <c r="F63" s="17">
        <f>E63-D63</f>
        <v>-16.91</v>
      </c>
      <c r="G63" s="12">
        <f t="shared" si="1"/>
        <v>-34.84227226835349</v>
      </c>
      <c r="H63" s="64"/>
      <c r="I63" s="65"/>
    </row>
    <row r="64" spans="1:9" ht="17.25" customHeight="1">
      <c r="A64" s="9"/>
      <c r="B64" s="13" t="s">
        <v>13</v>
      </c>
      <c r="C64" s="14" t="s">
        <v>49</v>
      </c>
      <c r="D64" s="15">
        <v>63</v>
      </c>
      <c r="E64" s="15">
        <v>63</v>
      </c>
      <c r="F64" s="17">
        <f t="shared" si="5"/>
        <v>0</v>
      </c>
      <c r="G64" s="12">
        <f t="shared" si="1"/>
        <v>0</v>
      </c>
      <c r="H64" s="64"/>
      <c r="I64" s="65"/>
    </row>
    <row r="65" spans="1:9" ht="17.25" customHeight="1">
      <c r="A65" s="9"/>
      <c r="B65" s="13" t="s">
        <v>15</v>
      </c>
      <c r="C65" s="14" t="s">
        <v>16</v>
      </c>
      <c r="D65" s="17">
        <f>D63/D64*1000</f>
        <v>770.3650793650794</v>
      </c>
      <c r="E65" s="17">
        <f>E63/E64*1000</f>
        <v>501.95238095238091</v>
      </c>
      <c r="F65" s="17">
        <f t="shared" si="5"/>
        <v>-268.41269841269849</v>
      </c>
      <c r="G65" s="12">
        <f t="shared" si="1"/>
        <v>-34.842272268353504</v>
      </c>
      <c r="H65" s="64"/>
      <c r="I65" s="65"/>
    </row>
    <row r="66" spans="1:9" ht="17.25" hidden="1" customHeight="1">
      <c r="A66" s="9"/>
      <c r="B66" s="10" t="s">
        <v>59</v>
      </c>
      <c r="C66" s="9" t="s">
        <v>4</v>
      </c>
      <c r="D66" s="11"/>
      <c r="E66" s="11"/>
      <c r="F66" s="17">
        <f>E66-D66</f>
        <v>0</v>
      </c>
      <c r="G66" s="12"/>
      <c r="H66" s="64"/>
      <c r="I66" s="65"/>
    </row>
    <row r="67" spans="1:9" ht="17.25" hidden="1" customHeight="1">
      <c r="A67" s="9"/>
      <c r="B67" s="13" t="s">
        <v>13</v>
      </c>
      <c r="C67" s="14" t="s">
        <v>49</v>
      </c>
      <c r="D67" s="15"/>
      <c r="E67" s="15"/>
      <c r="F67" s="17">
        <f t="shared" si="5"/>
        <v>0</v>
      </c>
      <c r="G67" s="12" t="e">
        <f t="shared" si="1"/>
        <v>#DIV/0!</v>
      </c>
      <c r="H67" s="64"/>
      <c r="I67" s="65"/>
    </row>
    <row r="68" spans="1:9" ht="17.25" hidden="1" customHeight="1">
      <c r="A68" s="9"/>
      <c r="B68" s="13" t="s">
        <v>15</v>
      </c>
      <c r="C68" s="14" t="s">
        <v>16</v>
      </c>
      <c r="D68" s="12"/>
      <c r="E68" s="12"/>
      <c r="F68" s="17">
        <f t="shared" si="5"/>
        <v>0</v>
      </c>
      <c r="G68" s="12" t="e">
        <f t="shared" si="1"/>
        <v>#DIV/0!</v>
      </c>
      <c r="H68" s="64"/>
      <c r="I68" s="65"/>
    </row>
    <row r="69" spans="1:9" ht="17.25" customHeight="1">
      <c r="A69" s="9"/>
      <c r="B69" s="21" t="s">
        <v>60</v>
      </c>
      <c r="C69" s="9" t="s">
        <v>4</v>
      </c>
      <c r="D69" s="11">
        <v>136.84100000000001</v>
      </c>
      <c r="E69" s="11">
        <v>149.51499999999999</v>
      </c>
      <c r="F69" s="17">
        <f>E69-D69</f>
        <v>12.673999999999978</v>
      </c>
      <c r="G69" s="12">
        <f t="shared" si="1"/>
        <v>9.2618440379710592</v>
      </c>
      <c r="H69" s="70" t="s">
        <v>294</v>
      </c>
      <c r="I69" s="71"/>
    </row>
    <row r="70" spans="1:9" ht="17.25" customHeight="1">
      <c r="A70" s="9"/>
      <c r="B70" s="13" t="s">
        <v>13</v>
      </c>
      <c r="C70" s="14" t="s">
        <v>61</v>
      </c>
      <c r="D70" s="15">
        <v>304</v>
      </c>
      <c r="E70" s="15">
        <v>323</v>
      </c>
      <c r="F70" s="17">
        <f t="shared" si="5"/>
        <v>19</v>
      </c>
      <c r="G70" s="12">
        <f t="shared" si="1"/>
        <v>6.25</v>
      </c>
      <c r="H70" s="72"/>
      <c r="I70" s="73"/>
    </row>
    <row r="71" spans="1:9" ht="17.25" customHeight="1">
      <c r="A71" s="9"/>
      <c r="B71" s="13" t="s">
        <v>15</v>
      </c>
      <c r="C71" s="14" t="s">
        <v>16</v>
      </c>
      <c r="D71" s="17">
        <f>D69/D70*1000</f>
        <v>450.13486842105266</v>
      </c>
      <c r="E71" s="17">
        <f>E69/E70*1000</f>
        <v>462.89473684210526</v>
      </c>
      <c r="F71" s="17">
        <f t="shared" si="5"/>
        <v>12.759868421052602</v>
      </c>
      <c r="G71" s="12">
        <f t="shared" si="1"/>
        <v>2.8346767416198295</v>
      </c>
      <c r="H71" s="64"/>
      <c r="I71" s="65"/>
    </row>
    <row r="72" spans="1:9" ht="17.25" customHeight="1">
      <c r="A72" s="19" t="s">
        <v>62</v>
      </c>
      <c r="B72" s="21" t="s">
        <v>63</v>
      </c>
      <c r="C72" s="9" t="s">
        <v>4</v>
      </c>
      <c r="D72" s="11">
        <f>D73</f>
        <v>275843.56</v>
      </c>
      <c r="E72" s="11">
        <f>E73</f>
        <v>272055.12599999999</v>
      </c>
      <c r="F72" s="17">
        <f t="shared" ref="F72" si="8">F73</f>
        <v>-3788.4339999999993</v>
      </c>
      <c r="G72" s="12">
        <f t="shared" si="1"/>
        <v>-1.3733994732376567</v>
      </c>
      <c r="H72" s="64"/>
      <c r="I72" s="65"/>
    </row>
    <row r="73" spans="1:9" ht="17.25" customHeight="1">
      <c r="A73" s="9"/>
      <c r="B73" s="30" t="s">
        <v>64</v>
      </c>
      <c r="C73" s="9" t="s">
        <v>4</v>
      </c>
      <c r="D73" s="11">
        <f>D75+D78+D81+D84</f>
        <v>275843.56</v>
      </c>
      <c r="E73" s="11">
        <f t="shared" ref="D73:F74" si="9">E75+E78+E81+E84</f>
        <v>272055.12599999999</v>
      </c>
      <c r="F73" s="17">
        <f t="shared" si="9"/>
        <v>-3788.4339999999993</v>
      </c>
      <c r="G73" s="12">
        <f t="shared" ref="G73:G136" si="10">F73/D73*100</f>
        <v>-1.3733994732376567</v>
      </c>
      <c r="H73" s="64"/>
      <c r="I73" s="65"/>
    </row>
    <row r="74" spans="1:9" ht="17.25" customHeight="1">
      <c r="A74" s="9"/>
      <c r="B74" s="30" t="s">
        <v>65</v>
      </c>
      <c r="C74" s="23" t="s">
        <v>66</v>
      </c>
      <c r="D74" s="15">
        <f t="shared" si="9"/>
        <v>14278611</v>
      </c>
      <c r="E74" s="15">
        <f t="shared" si="9"/>
        <v>14091494</v>
      </c>
      <c r="F74" s="15">
        <f t="shared" si="9"/>
        <v>-187117</v>
      </c>
      <c r="G74" s="12">
        <f t="shared" si="10"/>
        <v>-1.3104706052990729</v>
      </c>
      <c r="H74" s="64"/>
      <c r="I74" s="65"/>
    </row>
    <row r="75" spans="1:9" ht="36" customHeight="1">
      <c r="A75" s="9"/>
      <c r="B75" s="13" t="s">
        <v>67</v>
      </c>
      <c r="C75" s="9" t="s">
        <v>4</v>
      </c>
      <c r="D75" s="11">
        <v>15217.1</v>
      </c>
      <c r="E75" s="11">
        <v>15230.325000000001</v>
      </c>
      <c r="F75" s="17">
        <f>E75-D75</f>
        <v>13.225000000000364</v>
      </c>
      <c r="G75" s="12">
        <f t="shared" si="10"/>
        <v>8.6908806540013303E-2</v>
      </c>
      <c r="H75" s="64"/>
      <c r="I75" s="65"/>
    </row>
    <row r="76" spans="1:9" ht="17.25" customHeight="1">
      <c r="A76" s="9"/>
      <c r="B76" s="13" t="s">
        <v>68</v>
      </c>
      <c r="C76" s="23" t="s">
        <v>66</v>
      </c>
      <c r="D76" s="15">
        <v>807269</v>
      </c>
      <c r="E76" s="15">
        <v>808679</v>
      </c>
      <c r="F76" s="17">
        <f>E76-D76</f>
        <v>1410</v>
      </c>
      <c r="G76" s="12">
        <f t="shared" si="10"/>
        <v>0.17466296860154421</v>
      </c>
      <c r="H76" s="64"/>
      <c r="I76" s="65"/>
    </row>
    <row r="77" spans="1:9" ht="17.25" customHeight="1">
      <c r="A77" s="9"/>
      <c r="B77" s="13" t="s">
        <v>15</v>
      </c>
      <c r="C77" s="14" t="s">
        <v>16</v>
      </c>
      <c r="D77" s="17">
        <f>D75/D76*1000</f>
        <v>18.850098294372753</v>
      </c>
      <c r="E77" s="17">
        <f>E75/E76*1000</f>
        <v>18.833585390494868</v>
      </c>
      <c r="F77" s="17">
        <f t="shared" ref="F77:F86" si="11">E77-D77</f>
        <v>-1.6512903877885066E-2</v>
      </c>
      <c r="G77" s="12">
        <f t="shared" si="10"/>
        <v>-8.7601155283177481E-2</v>
      </c>
      <c r="H77" s="64"/>
      <c r="I77" s="65"/>
    </row>
    <row r="78" spans="1:9" ht="17.25" customHeight="1">
      <c r="A78" s="9"/>
      <c r="B78" s="13" t="s">
        <v>69</v>
      </c>
      <c r="C78" s="9" t="s">
        <v>4</v>
      </c>
      <c r="D78" s="11">
        <v>14239.927</v>
      </c>
      <c r="E78" s="11">
        <v>13990.374</v>
      </c>
      <c r="F78" s="17">
        <f>E78-D78</f>
        <v>-249.55299999999988</v>
      </c>
      <c r="G78" s="12">
        <f t="shared" si="10"/>
        <v>-1.7524879165462006</v>
      </c>
      <c r="H78" s="64"/>
      <c r="I78" s="65"/>
    </row>
    <row r="79" spans="1:9" ht="17.25" customHeight="1">
      <c r="A79" s="9"/>
      <c r="B79" s="13" t="s">
        <v>68</v>
      </c>
      <c r="C79" s="23" t="s">
        <v>66</v>
      </c>
      <c r="D79" s="15">
        <v>760374</v>
      </c>
      <c r="E79" s="15">
        <v>746564</v>
      </c>
      <c r="F79" s="17">
        <f>E79-D79</f>
        <v>-13810</v>
      </c>
      <c r="G79" s="12">
        <f t="shared" si="10"/>
        <v>-1.8162114959217439</v>
      </c>
      <c r="H79" s="64"/>
      <c r="I79" s="65"/>
    </row>
    <row r="80" spans="1:9" ht="17.25" customHeight="1">
      <c r="A80" s="9"/>
      <c r="B80" s="13" t="s">
        <v>15</v>
      </c>
      <c r="C80" s="14" t="s">
        <v>16</v>
      </c>
      <c r="D80" s="17">
        <f>D78/D79*1000</f>
        <v>18.727530136485463</v>
      </c>
      <c r="E80" s="17">
        <f>E78/E79*1000</f>
        <v>18.739684742366361</v>
      </c>
      <c r="F80" s="17">
        <f t="shared" si="11"/>
        <v>1.2154605880898117E-2</v>
      </c>
      <c r="G80" s="12">
        <f t="shared" si="10"/>
        <v>6.4902343193767961E-2</v>
      </c>
      <c r="H80" s="64"/>
      <c r="I80" s="65"/>
    </row>
    <row r="81" spans="1:13" ht="36" customHeight="1">
      <c r="A81" s="9"/>
      <c r="B81" s="13" t="s">
        <v>70</v>
      </c>
      <c r="C81" s="9" t="s">
        <v>4</v>
      </c>
      <c r="D81" s="11">
        <v>39275.152000000002</v>
      </c>
      <c r="E81" s="11">
        <v>42729.133000000002</v>
      </c>
      <c r="F81" s="17">
        <f>E81-D81</f>
        <v>3453.9809999999998</v>
      </c>
      <c r="G81" s="12">
        <f t="shared" si="10"/>
        <v>8.794316060189912</v>
      </c>
      <c r="H81" s="64"/>
      <c r="I81" s="65"/>
    </row>
    <row r="82" spans="1:13" ht="17.25" customHeight="1">
      <c r="A82" s="9"/>
      <c r="B82" s="13" t="s">
        <v>68</v>
      </c>
      <c r="C82" s="23" t="s">
        <v>66</v>
      </c>
      <c r="D82" s="15">
        <v>2089867</v>
      </c>
      <c r="E82" s="15">
        <v>2274441</v>
      </c>
      <c r="F82" s="15">
        <f>E82-D82</f>
        <v>184574</v>
      </c>
      <c r="G82" s="12">
        <f t="shared" si="10"/>
        <v>8.8318538930946318</v>
      </c>
      <c r="H82" s="64"/>
      <c r="I82" s="65"/>
    </row>
    <row r="83" spans="1:13" ht="17.25" customHeight="1">
      <c r="A83" s="9"/>
      <c r="B83" s="13" t="s">
        <v>15</v>
      </c>
      <c r="C83" s="14" t="s">
        <v>16</v>
      </c>
      <c r="D83" s="17">
        <f>D81/D82*1000</f>
        <v>18.793134682733399</v>
      </c>
      <c r="E83" s="17">
        <f>E81/E82*1000</f>
        <v>18.786652632449027</v>
      </c>
      <c r="F83" s="17">
        <v>0</v>
      </c>
      <c r="G83" s="12">
        <f t="shared" si="10"/>
        <v>0</v>
      </c>
      <c r="H83" s="64"/>
      <c r="I83" s="65"/>
    </row>
    <row r="84" spans="1:13" ht="17.25" customHeight="1">
      <c r="A84" s="9"/>
      <c r="B84" s="13" t="s">
        <v>71</v>
      </c>
      <c r="C84" s="9" t="s">
        <v>4</v>
      </c>
      <c r="D84" s="11">
        <v>207111.38099999999</v>
      </c>
      <c r="E84" s="11">
        <v>200105.29399999999</v>
      </c>
      <c r="F84" s="17">
        <f>E84-D84</f>
        <v>-7006.0869999999995</v>
      </c>
      <c r="G84" s="12">
        <f t="shared" si="10"/>
        <v>-3.3827629202086191</v>
      </c>
      <c r="H84" s="70" t="s">
        <v>299</v>
      </c>
      <c r="I84" s="71"/>
    </row>
    <row r="85" spans="1:13" ht="26.25" customHeight="1">
      <c r="A85" s="9"/>
      <c r="B85" s="13" t="s">
        <v>68</v>
      </c>
      <c r="C85" s="23" t="s">
        <v>66</v>
      </c>
      <c r="D85" s="15">
        <v>10621101</v>
      </c>
      <c r="E85" s="15">
        <v>10261810</v>
      </c>
      <c r="F85" s="15">
        <f>E85-D85</f>
        <v>-359291</v>
      </c>
      <c r="G85" s="12">
        <f t="shared" si="10"/>
        <v>-3.3828037225142666</v>
      </c>
      <c r="H85" s="72"/>
      <c r="I85" s="73"/>
    </row>
    <row r="86" spans="1:13" ht="17.25" customHeight="1">
      <c r="A86" s="9"/>
      <c r="B86" s="13" t="s">
        <v>15</v>
      </c>
      <c r="C86" s="14" t="s">
        <v>16</v>
      </c>
      <c r="D86" s="17">
        <f>D84/D85*1000</f>
        <v>19.499991667530512</v>
      </c>
      <c r="E86" s="17">
        <f>E84/E85*1000</f>
        <v>19.499999902551306</v>
      </c>
      <c r="F86" s="17">
        <f t="shared" si="11"/>
        <v>8.2350207932790909E-6</v>
      </c>
      <c r="G86" s="12">
        <f t="shared" si="10"/>
        <v>4.2230893908489433E-5</v>
      </c>
      <c r="H86" s="64"/>
      <c r="I86" s="65"/>
    </row>
    <row r="87" spans="1:13" ht="17.25" customHeight="1">
      <c r="A87" s="33" t="s">
        <v>72</v>
      </c>
      <c r="B87" s="6" t="s">
        <v>73</v>
      </c>
      <c r="C87" s="33" t="s">
        <v>4</v>
      </c>
      <c r="D87" s="7">
        <f t="shared" ref="D87" si="12">D88+D89</f>
        <v>199033.674</v>
      </c>
      <c r="E87" s="7">
        <f>E88+E89</f>
        <v>196429.82800000001</v>
      </c>
      <c r="F87" s="7">
        <f>F88+F89</f>
        <v>-2603.8460000000123</v>
      </c>
      <c r="G87" s="12">
        <f t="shared" si="10"/>
        <v>-1.3082439507196215</v>
      </c>
      <c r="H87" s="64"/>
      <c r="I87" s="65"/>
    </row>
    <row r="88" spans="1:13" ht="17.25" customHeight="1">
      <c r="A88" s="9" t="s">
        <v>74</v>
      </c>
      <c r="B88" s="10" t="s">
        <v>75</v>
      </c>
      <c r="C88" s="9" t="s">
        <v>4</v>
      </c>
      <c r="D88" s="11">
        <v>181085.18400000001</v>
      </c>
      <c r="E88" s="11">
        <f>181194.404+1265.096-1265.096-2462.651</f>
        <v>178731.753</v>
      </c>
      <c r="F88" s="17">
        <f>E88-D88</f>
        <v>-2353.4310000000114</v>
      </c>
      <c r="G88" s="12">
        <f t="shared" si="10"/>
        <v>-1.299626478552774</v>
      </c>
      <c r="H88" s="74" t="s">
        <v>300</v>
      </c>
      <c r="I88" s="75"/>
      <c r="M88" s="32"/>
    </row>
    <row r="89" spans="1:13" ht="17.25" customHeight="1">
      <c r="A89" s="9" t="s">
        <v>76</v>
      </c>
      <c r="B89" s="10" t="s">
        <v>77</v>
      </c>
      <c r="C89" s="9" t="s">
        <v>4</v>
      </c>
      <c r="D89" s="11">
        <v>17948.490000000002</v>
      </c>
      <c r="E89" s="11">
        <f>17967.34-269.265</f>
        <v>17698.075000000001</v>
      </c>
      <c r="F89" s="17">
        <f t="shared" ref="F89" si="13">E89-D89</f>
        <v>-250.41500000000087</v>
      </c>
      <c r="G89" s="12">
        <f t="shared" si="10"/>
        <v>-1.3951870045892487</v>
      </c>
      <c r="H89" s="74" t="s">
        <v>300</v>
      </c>
      <c r="I89" s="75"/>
    </row>
    <row r="90" spans="1:13" ht="17.25" customHeight="1">
      <c r="A90" s="33" t="s">
        <v>78</v>
      </c>
      <c r="B90" s="6" t="s">
        <v>79</v>
      </c>
      <c r="C90" s="33" t="s">
        <v>4</v>
      </c>
      <c r="D90" s="7">
        <f>D91</f>
        <v>115469.156</v>
      </c>
      <c r="E90" s="7">
        <f>E91</f>
        <v>115678.79999999999</v>
      </c>
      <c r="F90" s="22">
        <f t="shared" ref="F90" si="14">F91</f>
        <v>209.64399999998568</v>
      </c>
      <c r="G90" s="12">
        <f t="shared" si="10"/>
        <v>0.18155844145945405</v>
      </c>
      <c r="H90" s="64"/>
      <c r="I90" s="65"/>
    </row>
    <row r="91" spans="1:13" ht="17.25" customHeight="1">
      <c r="A91" s="25" t="s">
        <v>80</v>
      </c>
      <c r="B91" s="10" t="s">
        <v>81</v>
      </c>
      <c r="C91" s="9" t="s">
        <v>4</v>
      </c>
      <c r="D91" s="11">
        <v>115469.156</v>
      </c>
      <c r="E91" s="11">
        <f>115696.9-18.1</f>
        <v>115678.79999999999</v>
      </c>
      <c r="F91" s="17">
        <f>E91-D91</f>
        <v>209.64399999998568</v>
      </c>
      <c r="G91" s="12">
        <f t="shared" si="10"/>
        <v>0.18155844145945405</v>
      </c>
      <c r="H91" s="64"/>
      <c r="I91" s="65"/>
    </row>
    <row r="92" spans="1:13" ht="17.25" customHeight="1">
      <c r="A92" s="33" t="s">
        <v>82</v>
      </c>
      <c r="B92" s="6" t="s">
        <v>83</v>
      </c>
      <c r="C92" s="33" t="s">
        <v>4</v>
      </c>
      <c r="D92" s="7">
        <f t="shared" ref="D92:F92" si="15">D93</f>
        <v>3320.81</v>
      </c>
      <c r="E92" s="7">
        <f t="shared" si="15"/>
        <v>3159.7190000000001</v>
      </c>
      <c r="F92" s="22">
        <f t="shared" si="15"/>
        <v>-161.09099999999989</v>
      </c>
      <c r="G92" s="12">
        <f t="shared" si="10"/>
        <v>-4.8509550380780562</v>
      </c>
      <c r="H92" s="64"/>
      <c r="I92" s="65"/>
    </row>
    <row r="93" spans="1:13" ht="54" customHeight="1">
      <c r="A93" s="9" t="s">
        <v>84</v>
      </c>
      <c r="B93" s="10" t="s">
        <v>85</v>
      </c>
      <c r="C93" s="9" t="s">
        <v>4</v>
      </c>
      <c r="D93" s="11">
        <v>3320.81</v>
      </c>
      <c r="E93" s="11">
        <v>3159.7190000000001</v>
      </c>
      <c r="F93" s="17">
        <f>E93-D93</f>
        <v>-161.09099999999989</v>
      </c>
      <c r="G93" s="12">
        <f t="shared" si="10"/>
        <v>-4.8509550380780562</v>
      </c>
      <c r="H93" s="74" t="s">
        <v>301</v>
      </c>
      <c r="I93" s="75"/>
    </row>
    <row r="94" spans="1:13" ht="17.25" customHeight="1">
      <c r="A94" s="33" t="s">
        <v>86</v>
      </c>
      <c r="B94" s="6" t="s">
        <v>87</v>
      </c>
      <c r="C94" s="33" t="s">
        <v>4</v>
      </c>
      <c r="D94" s="7">
        <f t="shared" ref="D94:F94" si="16">D95+D96+D100+D101+D106+D107</f>
        <v>27513.991000000002</v>
      </c>
      <c r="E94" s="7">
        <f t="shared" si="16"/>
        <v>27443.061999999998</v>
      </c>
      <c r="F94" s="22">
        <f t="shared" si="16"/>
        <v>-70.929000000000855</v>
      </c>
      <c r="G94" s="12">
        <f t="shared" si="10"/>
        <v>-0.25779248092361756</v>
      </c>
      <c r="H94" s="64"/>
      <c r="I94" s="65"/>
    </row>
    <row r="95" spans="1:13" ht="17.25" customHeight="1">
      <c r="A95" s="9" t="s">
        <v>88</v>
      </c>
      <c r="B95" s="10" t="s">
        <v>89</v>
      </c>
      <c r="C95" s="9" t="s">
        <v>4</v>
      </c>
      <c r="D95" s="11">
        <v>6176.28</v>
      </c>
      <c r="E95" s="11">
        <v>6057.5039999999999</v>
      </c>
      <c r="F95" s="17">
        <f>E95-D95</f>
        <v>-118.77599999999984</v>
      </c>
      <c r="G95" s="12">
        <f t="shared" si="10"/>
        <v>-1.9230993413511019</v>
      </c>
      <c r="H95" s="74" t="s">
        <v>300</v>
      </c>
      <c r="I95" s="75"/>
    </row>
    <row r="96" spans="1:13" ht="53.25" customHeight="1">
      <c r="A96" s="9" t="s">
        <v>90</v>
      </c>
      <c r="B96" s="21" t="s">
        <v>243</v>
      </c>
      <c r="C96" s="9" t="s">
        <v>4</v>
      </c>
      <c r="D96" s="11">
        <f t="shared" ref="D96:F96" si="17">D97+D98+D99</f>
        <v>1304</v>
      </c>
      <c r="E96" s="11">
        <f t="shared" si="17"/>
        <v>1304.6500000000001</v>
      </c>
      <c r="F96" s="17">
        <f t="shared" si="17"/>
        <v>0.64999999999997726</v>
      </c>
      <c r="G96" s="12">
        <f t="shared" si="10"/>
        <v>4.9846625766869428E-2</v>
      </c>
      <c r="H96" s="64"/>
      <c r="I96" s="65"/>
    </row>
    <row r="97" spans="1:9" ht="17.25" customHeight="1">
      <c r="A97" s="9" t="s">
        <v>91</v>
      </c>
      <c r="B97" s="21" t="s">
        <v>92</v>
      </c>
      <c r="C97" s="9" t="s">
        <v>4</v>
      </c>
      <c r="D97" s="11">
        <v>519</v>
      </c>
      <c r="E97" s="11">
        <v>519</v>
      </c>
      <c r="F97" s="17">
        <f t="shared" ref="F97:F100" si="18">E97-D97</f>
        <v>0</v>
      </c>
      <c r="G97" s="12">
        <f t="shared" si="10"/>
        <v>0</v>
      </c>
      <c r="H97" s="64"/>
      <c r="I97" s="65"/>
    </row>
    <row r="98" spans="1:9" ht="33.75" customHeight="1">
      <c r="A98" s="9" t="s">
        <v>93</v>
      </c>
      <c r="B98" s="21" t="s">
        <v>94</v>
      </c>
      <c r="C98" s="9" t="s">
        <v>4</v>
      </c>
      <c r="D98" s="11">
        <v>385</v>
      </c>
      <c r="E98" s="11">
        <v>385.65</v>
      </c>
      <c r="F98" s="17">
        <f t="shared" si="18"/>
        <v>0.64999999999997726</v>
      </c>
      <c r="G98" s="12">
        <f t="shared" si="10"/>
        <v>0.16883116883116292</v>
      </c>
      <c r="H98" s="64"/>
      <c r="I98" s="65"/>
    </row>
    <row r="99" spans="1:9" ht="33.75" customHeight="1">
      <c r="A99" s="9" t="s">
        <v>95</v>
      </c>
      <c r="B99" s="21" t="s">
        <v>96</v>
      </c>
      <c r="C99" s="9" t="s">
        <v>4</v>
      </c>
      <c r="D99" s="11">
        <v>400</v>
      </c>
      <c r="E99" s="11">
        <v>400</v>
      </c>
      <c r="F99" s="17">
        <f t="shared" si="18"/>
        <v>0</v>
      </c>
      <c r="G99" s="12">
        <f t="shared" si="10"/>
        <v>0</v>
      </c>
      <c r="H99" s="64"/>
      <c r="I99" s="65"/>
    </row>
    <row r="100" spans="1:9" ht="17.25" customHeight="1">
      <c r="A100" s="9" t="s">
        <v>97</v>
      </c>
      <c r="B100" s="21" t="s">
        <v>98</v>
      </c>
      <c r="C100" s="9" t="s">
        <v>4</v>
      </c>
      <c r="D100" s="11">
        <v>12</v>
      </c>
      <c r="E100" s="11">
        <v>12</v>
      </c>
      <c r="F100" s="17">
        <f t="shared" si="18"/>
        <v>0</v>
      </c>
      <c r="G100" s="12">
        <f t="shared" si="10"/>
        <v>0</v>
      </c>
      <c r="H100" s="64"/>
      <c r="I100" s="65"/>
    </row>
    <row r="101" spans="1:9" ht="36" customHeight="1">
      <c r="A101" s="19" t="s">
        <v>105</v>
      </c>
      <c r="B101" s="21" t="s">
        <v>99</v>
      </c>
      <c r="C101" s="9" t="s">
        <v>4</v>
      </c>
      <c r="D101" s="11">
        <f t="shared" ref="D101:F101" si="19">D102+D103+D104+D105</f>
        <v>1485.3530000000001</v>
      </c>
      <c r="E101" s="11">
        <f t="shared" si="19"/>
        <v>1618.165</v>
      </c>
      <c r="F101" s="17">
        <f t="shared" si="19"/>
        <v>132.81200000000001</v>
      </c>
      <c r="G101" s="12">
        <f t="shared" si="10"/>
        <v>8.9414435491092021</v>
      </c>
      <c r="H101" s="64"/>
      <c r="I101" s="65"/>
    </row>
    <row r="102" spans="1:9" ht="17.25" customHeight="1">
      <c r="A102" s="26" t="s">
        <v>244</v>
      </c>
      <c r="B102" s="21" t="s">
        <v>100</v>
      </c>
      <c r="C102" s="9" t="s">
        <v>4</v>
      </c>
      <c r="D102" s="11">
        <v>374.73500000000001</v>
      </c>
      <c r="E102" s="11">
        <v>374.73500000000001</v>
      </c>
      <c r="F102" s="17">
        <f t="shared" ref="F102:F106" si="20">E102-D102</f>
        <v>0</v>
      </c>
      <c r="G102" s="12">
        <f t="shared" si="10"/>
        <v>0</v>
      </c>
      <c r="H102" s="64"/>
      <c r="I102" s="65"/>
    </row>
    <row r="103" spans="1:9" ht="28.5" customHeight="1">
      <c r="A103" s="9" t="s">
        <v>245</v>
      </c>
      <c r="B103" s="21" t="s">
        <v>101</v>
      </c>
      <c r="C103" s="9" t="s">
        <v>4</v>
      </c>
      <c r="D103" s="11">
        <v>751.09</v>
      </c>
      <c r="E103" s="11">
        <v>874.83</v>
      </c>
      <c r="F103" s="17">
        <f t="shared" si="20"/>
        <v>123.74000000000001</v>
      </c>
      <c r="G103" s="12">
        <f t="shared" si="10"/>
        <v>16.47472340198911</v>
      </c>
      <c r="H103" s="66" t="s">
        <v>289</v>
      </c>
      <c r="I103" s="67"/>
    </row>
    <row r="104" spans="1:9" ht="37.5" customHeight="1">
      <c r="A104" s="9" t="s">
        <v>246</v>
      </c>
      <c r="B104" s="21" t="s">
        <v>102</v>
      </c>
      <c r="C104" s="9" t="s">
        <v>4</v>
      </c>
      <c r="D104" s="11">
        <v>359.52800000000002</v>
      </c>
      <c r="E104" s="11">
        <v>368.6</v>
      </c>
      <c r="F104" s="17">
        <f t="shared" si="20"/>
        <v>9.0720000000000027</v>
      </c>
      <c r="G104" s="12">
        <f t="shared" si="10"/>
        <v>2.5233083375981851</v>
      </c>
      <c r="H104" s="64"/>
      <c r="I104" s="65"/>
    </row>
    <row r="105" spans="1:9" ht="35.25" hidden="1" customHeight="1">
      <c r="A105" s="9" t="s">
        <v>103</v>
      </c>
      <c r="B105" s="21" t="s">
        <v>104</v>
      </c>
      <c r="C105" s="9" t="s">
        <v>4</v>
      </c>
      <c r="D105" s="11">
        <v>0</v>
      </c>
      <c r="E105" s="11">
        <v>0</v>
      </c>
      <c r="F105" s="17">
        <f t="shared" si="20"/>
        <v>0</v>
      </c>
      <c r="G105" s="12" t="e">
        <f t="shared" si="10"/>
        <v>#DIV/0!</v>
      </c>
      <c r="H105" s="64"/>
      <c r="I105" s="65"/>
    </row>
    <row r="106" spans="1:9" ht="17.25" customHeight="1">
      <c r="A106" s="19" t="s">
        <v>247</v>
      </c>
      <c r="B106" s="21" t="s">
        <v>106</v>
      </c>
      <c r="C106" s="9" t="s">
        <v>4</v>
      </c>
      <c r="D106" s="11">
        <v>743.59799999999996</v>
      </c>
      <c r="E106" s="11">
        <f>733.423+10</f>
        <v>743.423</v>
      </c>
      <c r="F106" s="17">
        <f t="shared" si="20"/>
        <v>-0.17499999999995453</v>
      </c>
      <c r="G106" s="12">
        <f t="shared" si="10"/>
        <v>-2.3534221447604017E-2</v>
      </c>
      <c r="H106" s="64"/>
      <c r="I106" s="65"/>
    </row>
    <row r="107" spans="1:9" ht="17.25" customHeight="1">
      <c r="A107" s="18" t="s">
        <v>248</v>
      </c>
      <c r="B107" s="6" t="s">
        <v>107</v>
      </c>
      <c r="C107" s="9" t="s">
        <v>4</v>
      </c>
      <c r="D107" s="11">
        <f>D108+D112+D116+D120+D121+D122+D123+D124+D125+D126+D127+D128+D129+D130+D131+D132</f>
        <v>17792.760000000002</v>
      </c>
      <c r="E107" s="11">
        <f>E108+E112+E116+E120+E121+E122+E123+E124+E125+E126+E127+E128+E129+E130+E131+E132</f>
        <v>17707.32</v>
      </c>
      <c r="F107" s="11">
        <f>F108+F112+F116+F120+F121+F122+F123+F124+F125+F126+F127+F128+F129+F130+F131+F132</f>
        <v>-85.440000000001049</v>
      </c>
      <c r="G107" s="12">
        <f t="shared" si="10"/>
        <v>-0.48019531539795424</v>
      </c>
      <c r="H107" s="76"/>
      <c r="I107" s="65"/>
    </row>
    <row r="108" spans="1:9" ht="18" customHeight="1">
      <c r="A108" s="19" t="s">
        <v>249</v>
      </c>
      <c r="B108" s="10" t="s">
        <v>108</v>
      </c>
      <c r="C108" s="9" t="s">
        <v>4</v>
      </c>
      <c r="D108" s="11">
        <v>4837.9170000000004</v>
      </c>
      <c r="E108" s="11">
        <f>E109+E110+E111+625</f>
        <v>5033.3739999999989</v>
      </c>
      <c r="F108" s="17">
        <f>E108-D108</f>
        <v>195.45699999999852</v>
      </c>
      <c r="G108" s="12">
        <f t="shared" si="10"/>
        <v>4.0401065169162376</v>
      </c>
      <c r="H108" s="77"/>
      <c r="I108" s="78"/>
    </row>
    <row r="109" spans="1:9" ht="17.25" hidden="1" customHeight="1">
      <c r="A109" s="19"/>
      <c r="B109" s="10" t="s">
        <v>221</v>
      </c>
      <c r="C109" s="9" t="s">
        <v>4</v>
      </c>
      <c r="D109" s="11"/>
      <c r="E109" s="11">
        <v>3686.2979999999998</v>
      </c>
      <c r="F109" s="17"/>
      <c r="G109" s="12" t="e">
        <f t="shared" si="10"/>
        <v>#DIV/0!</v>
      </c>
      <c r="H109" s="64"/>
      <c r="I109" s="65"/>
    </row>
    <row r="110" spans="1:9" ht="36" hidden="1" customHeight="1">
      <c r="A110" s="19"/>
      <c r="B110" s="10" t="s">
        <v>222</v>
      </c>
      <c r="C110" s="9" t="s">
        <v>4</v>
      </c>
      <c r="D110" s="11"/>
      <c r="E110" s="11">
        <v>718.904</v>
      </c>
      <c r="F110" s="17"/>
      <c r="G110" s="12" t="e">
        <f t="shared" si="10"/>
        <v>#DIV/0!</v>
      </c>
      <c r="H110" s="64"/>
      <c r="I110" s="65"/>
    </row>
    <row r="111" spans="1:9" ht="17.25" hidden="1" customHeight="1">
      <c r="A111" s="19"/>
      <c r="B111" s="10" t="s">
        <v>223</v>
      </c>
      <c r="C111" s="9" t="s">
        <v>4</v>
      </c>
      <c r="D111" s="11"/>
      <c r="E111" s="11">
        <v>3.1720000000000002</v>
      </c>
      <c r="F111" s="17"/>
      <c r="G111" s="12" t="e">
        <f t="shared" si="10"/>
        <v>#DIV/0!</v>
      </c>
      <c r="H111" s="64"/>
      <c r="I111" s="65"/>
    </row>
    <row r="112" spans="1:9" ht="17.25" customHeight="1">
      <c r="A112" s="19" t="s">
        <v>250</v>
      </c>
      <c r="B112" s="10" t="s">
        <v>109</v>
      </c>
      <c r="C112" s="9" t="s">
        <v>4</v>
      </c>
      <c r="D112" s="11">
        <f t="shared" ref="D112:F112" si="21">D113+D114+D115</f>
        <v>432.35</v>
      </c>
      <c r="E112" s="11">
        <f t="shared" si="21"/>
        <v>432.35</v>
      </c>
      <c r="F112" s="17">
        <f t="shared" si="21"/>
        <v>0</v>
      </c>
      <c r="G112" s="12">
        <f t="shared" si="10"/>
        <v>0</v>
      </c>
      <c r="H112" s="64"/>
      <c r="I112" s="65"/>
    </row>
    <row r="113" spans="1:9" ht="36" customHeight="1">
      <c r="A113" s="9" t="s">
        <v>251</v>
      </c>
      <c r="B113" s="10" t="s">
        <v>241</v>
      </c>
      <c r="C113" s="9" t="s">
        <v>4</v>
      </c>
      <c r="D113" s="11">
        <v>0</v>
      </c>
      <c r="E113" s="11">
        <v>0</v>
      </c>
      <c r="F113" s="17">
        <f t="shared" ref="F113:F118" si="22">E113-D113</f>
        <v>0</v>
      </c>
      <c r="G113" s="12">
        <v>0</v>
      </c>
      <c r="H113" s="64"/>
      <c r="I113" s="65"/>
    </row>
    <row r="114" spans="1:9" ht="33.75" customHeight="1">
      <c r="A114" s="9" t="s">
        <v>252</v>
      </c>
      <c r="B114" s="10" t="s">
        <v>242</v>
      </c>
      <c r="C114" s="9" t="s">
        <v>4</v>
      </c>
      <c r="D114" s="11">
        <v>359.55</v>
      </c>
      <c r="E114" s="11">
        <v>359.55</v>
      </c>
      <c r="F114" s="17">
        <f t="shared" si="22"/>
        <v>0</v>
      </c>
      <c r="G114" s="12">
        <f t="shared" si="10"/>
        <v>0</v>
      </c>
      <c r="H114" s="64"/>
      <c r="I114" s="65"/>
    </row>
    <row r="115" spans="1:9" ht="17.25" customHeight="1">
      <c r="A115" s="9" t="s">
        <v>253</v>
      </c>
      <c r="B115" s="10" t="s">
        <v>110</v>
      </c>
      <c r="C115" s="9" t="s">
        <v>4</v>
      </c>
      <c r="D115" s="11">
        <v>72.8</v>
      </c>
      <c r="E115" s="11">
        <v>72.8</v>
      </c>
      <c r="F115" s="17">
        <f t="shared" si="22"/>
        <v>0</v>
      </c>
      <c r="G115" s="12">
        <f t="shared" si="10"/>
        <v>0</v>
      </c>
      <c r="H115" s="64"/>
      <c r="I115" s="65"/>
    </row>
    <row r="116" spans="1:9" ht="34.5" customHeight="1">
      <c r="A116" s="19" t="s">
        <v>254</v>
      </c>
      <c r="B116" s="10" t="s">
        <v>111</v>
      </c>
      <c r="C116" s="9" t="s">
        <v>4</v>
      </c>
      <c r="D116" s="11">
        <f>D117</f>
        <v>3877.53</v>
      </c>
      <c r="E116" s="11">
        <f>E117</f>
        <v>3806.1379999999999</v>
      </c>
      <c r="F116" s="17">
        <f t="shared" si="22"/>
        <v>-71.39200000000028</v>
      </c>
      <c r="G116" s="12">
        <f t="shared" si="10"/>
        <v>-1.8411720863539489</v>
      </c>
      <c r="H116" s="64"/>
      <c r="I116" s="65"/>
    </row>
    <row r="117" spans="1:9" ht="17.25" customHeight="1">
      <c r="A117" s="9"/>
      <c r="B117" s="27" t="s">
        <v>112</v>
      </c>
      <c r="C117" s="9" t="s">
        <v>113</v>
      </c>
      <c r="D117" s="11">
        <v>3877.53</v>
      </c>
      <c r="E117" s="11">
        <v>3806.1379999999999</v>
      </c>
      <c r="F117" s="17">
        <f t="shared" si="22"/>
        <v>-71.39200000000028</v>
      </c>
      <c r="G117" s="12">
        <f t="shared" si="10"/>
        <v>-1.8411720863539489</v>
      </c>
      <c r="H117" s="64"/>
      <c r="I117" s="65"/>
    </row>
    <row r="118" spans="1:9" ht="17.25" customHeight="1">
      <c r="A118" s="9"/>
      <c r="B118" s="13" t="s">
        <v>13</v>
      </c>
      <c r="C118" s="14" t="s">
        <v>114</v>
      </c>
      <c r="D118" s="11">
        <v>7755.0590000000002</v>
      </c>
      <c r="E118" s="11">
        <v>7612.2749999999996</v>
      </c>
      <c r="F118" s="17">
        <f t="shared" si="22"/>
        <v>-142.78400000000056</v>
      </c>
      <c r="G118" s="12">
        <f t="shared" si="10"/>
        <v>-1.8411723237695621</v>
      </c>
      <c r="H118" s="64"/>
      <c r="I118" s="65"/>
    </row>
    <row r="119" spans="1:9" ht="17.25" customHeight="1">
      <c r="A119" s="9"/>
      <c r="B119" s="13" t="s">
        <v>15</v>
      </c>
      <c r="C119" s="14" t="s">
        <v>16</v>
      </c>
      <c r="D119" s="11">
        <v>0.5</v>
      </c>
      <c r="E119" s="11">
        <v>0.5</v>
      </c>
      <c r="F119" s="17">
        <f>E119-D119</f>
        <v>0</v>
      </c>
      <c r="G119" s="12">
        <f t="shared" si="10"/>
        <v>0</v>
      </c>
      <c r="H119" s="64"/>
      <c r="I119" s="65"/>
    </row>
    <row r="120" spans="1:9" ht="17.25" customHeight="1">
      <c r="A120" s="19" t="s">
        <v>255</v>
      </c>
      <c r="B120" s="10" t="s">
        <v>115</v>
      </c>
      <c r="C120" s="9" t="s">
        <v>4</v>
      </c>
      <c r="D120" s="11">
        <v>11.2</v>
      </c>
      <c r="E120" s="11">
        <v>11.2</v>
      </c>
      <c r="F120" s="17">
        <f>E120-D120</f>
        <v>0</v>
      </c>
      <c r="G120" s="12">
        <f t="shared" si="10"/>
        <v>0</v>
      </c>
      <c r="H120" s="64"/>
      <c r="I120" s="65"/>
    </row>
    <row r="121" spans="1:9" ht="36" customHeight="1">
      <c r="A121" s="19" t="s">
        <v>256</v>
      </c>
      <c r="B121" s="10" t="s">
        <v>116</v>
      </c>
      <c r="C121" s="9" t="s">
        <v>4</v>
      </c>
      <c r="D121" s="11">
        <v>491.07100000000003</v>
      </c>
      <c r="E121" s="11">
        <v>491.07100000000003</v>
      </c>
      <c r="F121" s="17">
        <f t="shared" ref="F121:F132" si="23">E121-D121</f>
        <v>0</v>
      </c>
      <c r="G121" s="12">
        <f t="shared" si="10"/>
        <v>0</v>
      </c>
      <c r="H121" s="64"/>
      <c r="I121" s="65"/>
    </row>
    <row r="122" spans="1:9" ht="41.25" customHeight="1">
      <c r="A122" s="19" t="s">
        <v>257</v>
      </c>
      <c r="B122" s="10" t="s">
        <v>117</v>
      </c>
      <c r="C122" s="9" t="s">
        <v>4</v>
      </c>
      <c r="D122" s="11">
        <v>4844.6989999999996</v>
      </c>
      <c r="E122" s="11">
        <v>4621.4350000000004</v>
      </c>
      <c r="F122" s="17">
        <f t="shared" si="23"/>
        <v>-223.26399999999921</v>
      </c>
      <c r="G122" s="12">
        <f t="shared" si="10"/>
        <v>-4.6084183970975126</v>
      </c>
      <c r="H122" s="66" t="s">
        <v>296</v>
      </c>
      <c r="I122" s="67"/>
    </row>
    <row r="123" spans="1:9" ht="55.5" customHeight="1">
      <c r="A123" s="19" t="s">
        <v>258</v>
      </c>
      <c r="B123" s="10" t="s">
        <v>118</v>
      </c>
      <c r="C123" s="9" t="s">
        <v>4</v>
      </c>
      <c r="D123" s="11">
        <v>224.95</v>
      </c>
      <c r="E123" s="11">
        <v>224.95</v>
      </c>
      <c r="F123" s="17">
        <f t="shared" si="23"/>
        <v>0</v>
      </c>
      <c r="G123" s="12">
        <f t="shared" si="10"/>
        <v>0</v>
      </c>
      <c r="H123" s="64"/>
      <c r="I123" s="65"/>
    </row>
    <row r="124" spans="1:9" ht="17.25" customHeight="1">
      <c r="A124" s="19" t="s">
        <v>259</v>
      </c>
      <c r="B124" s="10" t="s">
        <v>119</v>
      </c>
      <c r="C124" s="9" t="s">
        <v>4</v>
      </c>
      <c r="D124" s="11">
        <v>473.74400000000003</v>
      </c>
      <c r="E124" s="11">
        <v>485.01600000000002</v>
      </c>
      <c r="F124" s="17">
        <f t="shared" si="23"/>
        <v>11.271999999999991</v>
      </c>
      <c r="G124" s="12">
        <f t="shared" si="10"/>
        <v>2.3793441183423938</v>
      </c>
      <c r="H124" s="64"/>
      <c r="I124" s="65"/>
    </row>
    <row r="125" spans="1:9" ht="54" customHeight="1">
      <c r="A125" s="19" t="s">
        <v>260</v>
      </c>
      <c r="B125" s="10" t="s">
        <v>120</v>
      </c>
      <c r="C125" s="9" t="s">
        <v>4</v>
      </c>
      <c r="D125" s="11">
        <v>318.21899999999999</v>
      </c>
      <c r="E125" s="11">
        <v>318.21899999999999</v>
      </c>
      <c r="F125" s="17">
        <f t="shared" si="23"/>
        <v>0</v>
      </c>
      <c r="G125" s="12">
        <f t="shared" si="10"/>
        <v>0</v>
      </c>
      <c r="H125" s="64"/>
      <c r="I125" s="65"/>
    </row>
    <row r="126" spans="1:9" ht="34.5" hidden="1" customHeight="1">
      <c r="A126" s="19" t="s">
        <v>121</v>
      </c>
      <c r="B126" s="10" t="s">
        <v>218</v>
      </c>
      <c r="C126" s="9" t="s">
        <v>4</v>
      </c>
      <c r="D126" s="11">
        <v>0</v>
      </c>
      <c r="E126" s="11">
        <v>0</v>
      </c>
      <c r="F126" s="17">
        <f t="shared" si="23"/>
        <v>0</v>
      </c>
      <c r="G126" s="12" t="e">
        <f t="shared" si="10"/>
        <v>#DIV/0!</v>
      </c>
      <c r="H126" s="64"/>
      <c r="I126" s="65"/>
    </row>
    <row r="127" spans="1:9" ht="33" customHeight="1">
      <c r="A127" s="19" t="s">
        <v>261</v>
      </c>
      <c r="B127" s="10" t="s">
        <v>264</v>
      </c>
      <c r="C127" s="9" t="s">
        <v>4</v>
      </c>
      <c r="D127" s="11">
        <v>70.400000000000006</v>
      </c>
      <c r="E127" s="11">
        <v>76.599999999999994</v>
      </c>
      <c r="F127" s="17">
        <f t="shared" si="23"/>
        <v>6.1999999999999886</v>
      </c>
      <c r="G127" s="12">
        <f t="shared" si="10"/>
        <v>8.8068181818181639</v>
      </c>
      <c r="H127" s="66" t="s">
        <v>290</v>
      </c>
      <c r="I127" s="67"/>
    </row>
    <row r="128" spans="1:9" ht="17.25" customHeight="1">
      <c r="A128" s="19" t="s">
        <v>262</v>
      </c>
      <c r="B128" s="10" t="s">
        <v>122</v>
      </c>
      <c r="C128" s="9" t="s">
        <v>4</v>
      </c>
      <c r="D128" s="11">
        <v>660</v>
      </c>
      <c r="E128" s="11">
        <v>660</v>
      </c>
      <c r="F128" s="17">
        <f t="shared" si="23"/>
        <v>0</v>
      </c>
      <c r="G128" s="12">
        <f t="shared" si="10"/>
        <v>0</v>
      </c>
      <c r="H128" s="64"/>
      <c r="I128" s="65"/>
    </row>
    <row r="129" spans="1:12" ht="54.75" customHeight="1">
      <c r="A129" s="19" t="s">
        <v>263</v>
      </c>
      <c r="B129" s="10" t="s">
        <v>123</v>
      </c>
      <c r="C129" s="9" t="s">
        <v>4</v>
      </c>
      <c r="D129" s="11">
        <v>748.71</v>
      </c>
      <c r="E129" s="11">
        <f>748.713-1.061-2.121-0.53</f>
        <v>745.00099999999998</v>
      </c>
      <c r="F129" s="17">
        <f t="shared" si="23"/>
        <v>-3.70900000000006</v>
      </c>
      <c r="G129" s="12">
        <f t="shared" si="10"/>
        <v>-0.49538539621483085</v>
      </c>
      <c r="H129" s="64"/>
      <c r="I129" s="65"/>
    </row>
    <row r="130" spans="1:12" ht="54" customHeight="1">
      <c r="A130" s="19" t="s">
        <v>265</v>
      </c>
      <c r="B130" s="10" t="s">
        <v>124</v>
      </c>
      <c r="C130" s="9" t="s">
        <v>4</v>
      </c>
      <c r="D130" s="11">
        <v>590</v>
      </c>
      <c r="E130" s="11">
        <v>590</v>
      </c>
      <c r="F130" s="17">
        <f t="shared" si="23"/>
        <v>0</v>
      </c>
      <c r="G130" s="12">
        <f t="shared" si="10"/>
        <v>0</v>
      </c>
      <c r="H130" s="64"/>
      <c r="I130" s="65"/>
    </row>
    <row r="131" spans="1:12" ht="17.25" customHeight="1">
      <c r="A131" s="19" t="s">
        <v>266</v>
      </c>
      <c r="B131" s="28" t="s">
        <v>125</v>
      </c>
      <c r="C131" s="9" t="s">
        <v>4</v>
      </c>
      <c r="D131" s="11">
        <v>59.82</v>
      </c>
      <c r="E131" s="11">
        <v>59.820999999999998</v>
      </c>
      <c r="F131" s="17">
        <f t="shared" si="23"/>
        <v>9.9999999999766942E-4</v>
      </c>
      <c r="G131" s="12">
        <f t="shared" si="10"/>
        <v>1.6716817117981768E-3</v>
      </c>
      <c r="H131" s="64"/>
      <c r="I131" s="65"/>
    </row>
    <row r="132" spans="1:12" ht="17.25" customHeight="1">
      <c r="A132" s="19" t="s">
        <v>267</v>
      </c>
      <c r="B132" s="28" t="s">
        <v>232</v>
      </c>
      <c r="C132" s="9" t="s">
        <v>4</v>
      </c>
      <c r="D132" s="11">
        <v>152.15</v>
      </c>
      <c r="E132" s="11">
        <v>152.14500000000001</v>
      </c>
      <c r="F132" s="17">
        <f t="shared" si="23"/>
        <v>-4.9999999999954525E-3</v>
      </c>
      <c r="G132" s="12">
        <f t="shared" si="10"/>
        <v>-3.2862306933916872E-3</v>
      </c>
      <c r="H132" s="64"/>
      <c r="I132" s="65"/>
    </row>
    <row r="133" spans="1:12" ht="17.25" customHeight="1">
      <c r="A133" s="33" t="s">
        <v>126</v>
      </c>
      <c r="B133" s="6" t="s">
        <v>127</v>
      </c>
      <c r="C133" s="9" t="s">
        <v>4</v>
      </c>
      <c r="D133" s="7">
        <f t="shared" ref="D133:E133" si="24">D134</f>
        <v>29199.024000000005</v>
      </c>
      <c r="E133" s="7">
        <f t="shared" si="24"/>
        <v>29208.909000000003</v>
      </c>
      <c r="F133" s="22">
        <f>E133-D133</f>
        <v>9.8849999999983993</v>
      </c>
      <c r="G133" s="12">
        <f t="shared" si="10"/>
        <v>3.3853871280075658E-2</v>
      </c>
      <c r="H133" s="64"/>
      <c r="I133" s="65"/>
      <c r="J133" s="32"/>
      <c r="L133" s="32"/>
    </row>
    <row r="134" spans="1:12" ht="17.25" customHeight="1">
      <c r="A134" s="33">
        <v>6</v>
      </c>
      <c r="B134" s="6" t="s">
        <v>128</v>
      </c>
      <c r="C134" s="33" t="s">
        <v>4</v>
      </c>
      <c r="D134" s="7">
        <f>D135+D140+D141+D142+D143+D146+D148+D164+D168+D169+D170+D175+D174+D179</f>
        <v>29199.024000000005</v>
      </c>
      <c r="E134" s="7">
        <f>E135+E140+E141+E142+E143+E146+E148+E164+E168+E169+E170+E175+E174+E179</f>
        <v>29208.909000000003</v>
      </c>
      <c r="F134" s="22">
        <f>E134-D134</f>
        <v>9.8849999999983993</v>
      </c>
      <c r="G134" s="12">
        <f t="shared" si="10"/>
        <v>3.3853871280075658E-2</v>
      </c>
      <c r="H134" s="64"/>
      <c r="I134" s="65"/>
      <c r="J134" s="32"/>
    </row>
    <row r="135" spans="1:12" ht="17.25" customHeight="1">
      <c r="A135" s="33" t="s">
        <v>129</v>
      </c>
      <c r="B135" s="6" t="s">
        <v>130</v>
      </c>
      <c r="C135" s="33" t="s">
        <v>4</v>
      </c>
      <c r="D135" s="7">
        <f t="shared" ref="D135:E135" si="25">D136+D137</f>
        <v>1114.92</v>
      </c>
      <c r="E135" s="7">
        <f t="shared" si="25"/>
        <v>1083.346</v>
      </c>
      <c r="F135" s="22">
        <f>E135-D135</f>
        <v>-31.574000000000069</v>
      </c>
      <c r="G135" s="12">
        <f t="shared" si="10"/>
        <v>-2.8319520683098398</v>
      </c>
      <c r="H135" s="64"/>
      <c r="I135" s="65"/>
      <c r="J135" s="32"/>
    </row>
    <row r="136" spans="1:12" ht="37.5">
      <c r="A136" s="9" t="s">
        <v>131</v>
      </c>
      <c r="B136" s="10" t="s">
        <v>132</v>
      </c>
      <c r="C136" s="9" t="s">
        <v>4</v>
      </c>
      <c r="D136" s="11">
        <v>454.24799999999999</v>
      </c>
      <c r="E136" s="11">
        <v>453.93200000000002</v>
      </c>
      <c r="F136" s="17">
        <f t="shared" ref="F136:F137" si="26">E136-D136</f>
        <v>-0.31599999999997408</v>
      </c>
      <c r="G136" s="12">
        <f t="shared" si="10"/>
        <v>-6.9565523678689622E-2</v>
      </c>
      <c r="H136" s="64"/>
      <c r="I136" s="65"/>
      <c r="J136" s="32"/>
    </row>
    <row r="137" spans="1:12" ht="17.25" customHeight="1">
      <c r="A137" s="9" t="s">
        <v>133</v>
      </c>
      <c r="B137" s="10" t="s">
        <v>63</v>
      </c>
      <c r="C137" s="9" t="s">
        <v>4</v>
      </c>
      <c r="D137" s="11">
        <v>660.67200000000003</v>
      </c>
      <c r="E137" s="11">
        <v>629.41399999999999</v>
      </c>
      <c r="F137" s="17">
        <f t="shared" si="26"/>
        <v>-31.258000000000038</v>
      </c>
      <c r="G137" s="12">
        <f t="shared" ref="G137:G200" si="27">F137/D137*100</f>
        <v>-4.7312433401143137</v>
      </c>
      <c r="H137" s="64"/>
      <c r="I137" s="65"/>
      <c r="J137" s="32"/>
    </row>
    <row r="138" spans="1:12" ht="17.25" customHeight="1">
      <c r="A138" s="9"/>
      <c r="B138" s="13" t="s">
        <v>68</v>
      </c>
      <c r="C138" s="23" t="s">
        <v>66</v>
      </c>
      <c r="D138" s="15">
        <v>33800</v>
      </c>
      <c r="E138" s="15">
        <v>33800</v>
      </c>
      <c r="F138" s="15">
        <f>E138-D138</f>
        <v>0</v>
      </c>
      <c r="G138" s="12">
        <f t="shared" si="27"/>
        <v>0</v>
      </c>
      <c r="H138" s="64"/>
      <c r="I138" s="65"/>
      <c r="J138" s="32"/>
    </row>
    <row r="139" spans="1:12" ht="17.25" customHeight="1">
      <c r="A139" s="9"/>
      <c r="B139" s="13" t="s">
        <v>15</v>
      </c>
      <c r="C139" s="14" t="s">
        <v>16</v>
      </c>
      <c r="D139" s="17">
        <f t="shared" ref="D139:E139" si="28">D137/D138*1000</f>
        <v>19.546508875739644</v>
      </c>
      <c r="E139" s="17">
        <f t="shared" si="28"/>
        <v>18.621715976331359</v>
      </c>
      <c r="F139" s="17">
        <f>E139-D139</f>
        <v>-0.9247928994082848</v>
      </c>
      <c r="G139" s="12">
        <f t="shared" si="27"/>
        <v>-4.7312433401143119</v>
      </c>
      <c r="H139" s="64"/>
      <c r="I139" s="65"/>
      <c r="J139" s="32"/>
    </row>
    <row r="140" spans="1:12" ht="32.25" customHeight="1">
      <c r="A140" s="9" t="s">
        <v>134</v>
      </c>
      <c r="B140" s="10" t="s">
        <v>135</v>
      </c>
      <c r="C140" s="9" t="s">
        <v>4</v>
      </c>
      <c r="D140" s="11">
        <v>14992.42</v>
      </c>
      <c r="E140" s="11">
        <f>12625.916+233.463-233.463+2462.651</f>
        <v>15088.566999999999</v>
      </c>
      <c r="F140" s="17">
        <f>E140-D140</f>
        <v>96.146999999999025</v>
      </c>
      <c r="G140" s="12">
        <f t="shared" si="27"/>
        <v>0.64130407232454145</v>
      </c>
      <c r="H140" s="74"/>
      <c r="I140" s="75"/>
      <c r="J140" s="32"/>
    </row>
    <row r="141" spans="1:12" ht="17.25" customHeight="1">
      <c r="A141" s="9" t="s">
        <v>136</v>
      </c>
      <c r="B141" s="10" t="s">
        <v>77</v>
      </c>
      <c r="C141" s="9" t="s">
        <v>4</v>
      </c>
      <c r="D141" s="11">
        <v>1494.49</v>
      </c>
      <c r="E141" s="11">
        <f>1272.638+269.265</f>
        <v>1541.9029999999998</v>
      </c>
      <c r="F141" s="17">
        <f t="shared" ref="F141:F163" si="29">E141-D141</f>
        <v>47.412999999999784</v>
      </c>
      <c r="G141" s="12">
        <f t="shared" si="27"/>
        <v>3.172520391571692</v>
      </c>
      <c r="H141" s="74"/>
      <c r="I141" s="75"/>
      <c r="J141" s="32"/>
    </row>
    <row r="142" spans="1:12" ht="17.25" customHeight="1">
      <c r="A142" s="9" t="s">
        <v>137</v>
      </c>
      <c r="B142" s="10" t="s">
        <v>138</v>
      </c>
      <c r="C142" s="9" t="s">
        <v>4</v>
      </c>
      <c r="D142" s="11">
        <v>930.96</v>
      </c>
      <c r="E142" s="11">
        <f>371.825+411.7</f>
        <v>783.52499999999998</v>
      </c>
      <c r="F142" s="17">
        <f t="shared" si="29"/>
        <v>-147.43500000000006</v>
      </c>
      <c r="G142" s="12">
        <f t="shared" si="27"/>
        <v>-15.836878061356025</v>
      </c>
      <c r="H142" s="74" t="s">
        <v>307</v>
      </c>
      <c r="I142" s="75"/>
      <c r="J142" s="32"/>
    </row>
    <row r="143" spans="1:12" ht="17.25" customHeight="1">
      <c r="A143" s="33" t="s">
        <v>139</v>
      </c>
      <c r="B143" s="6" t="s">
        <v>140</v>
      </c>
      <c r="C143" s="33" t="s">
        <v>4</v>
      </c>
      <c r="D143" s="7">
        <f t="shared" ref="D143:F143" si="30">D144+D145</f>
        <v>546.32000000000005</v>
      </c>
      <c r="E143" s="7">
        <f t="shared" si="30"/>
        <v>546.31200000000001</v>
      </c>
      <c r="F143" s="22">
        <f t="shared" si="30"/>
        <v>-7.9999999999813554E-3</v>
      </c>
      <c r="G143" s="12">
        <f t="shared" si="27"/>
        <v>-1.4643432420525251E-3</v>
      </c>
      <c r="H143" s="64"/>
      <c r="I143" s="65"/>
      <c r="J143" s="32"/>
    </row>
    <row r="144" spans="1:12" ht="17.25" customHeight="1">
      <c r="A144" s="9" t="s">
        <v>141</v>
      </c>
      <c r="B144" s="10" t="s">
        <v>81</v>
      </c>
      <c r="C144" s="9" t="s">
        <v>4</v>
      </c>
      <c r="D144" s="11">
        <v>402.61</v>
      </c>
      <c r="E144" s="11">
        <v>402.60700000000003</v>
      </c>
      <c r="F144" s="17">
        <f t="shared" si="29"/>
        <v>-2.9999999999859028E-3</v>
      </c>
      <c r="G144" s="12">
        <f t="shared" si="27"/>
        <v>-7.4513797471148328E-4</v>
      </c>
      <c r="H144" s="64"/>
      <c r="I144" s="65"/>
      <c r="J144" s="32"/>
    </row>
    <row r="145" spans="1:10" ht="17.25" customHeight="1">
      <c r="A145" s="9" t="s">
        <v>142</v>
      </c>
      <c r="B145" s="10" t="s">
        <v>143</v>
      </c>
      <c r="C145" s="9"/>
      <c r="D145" s="11">
        <v>143.71</v>
      </c>
      <c r="E145" s="11">
        <v>143.70500000000001</v>
      </c>
      <c r="F145" s="17">
        <f t="shared" si="29"/>
        <v>-4.9999999999954525E-3</v>
      </c>
      <c r="G145" s="12">
        <f t="shared" si="27"/>
        <v>-3.4792290028498032E-3</v>
      </c>
      <c r="H145" s="64"/>
      <c r="I145" s="65"/>
      <c r="J145" s="32"/>
    </row>
    <row r="146" spans="1:10" ht="75.75" customHeight="1">
      <c r="A146" s="33" t="s">
        <v>144</v>
      </c>
      <c r="B146" s="6" t="s">
        <v>145</v>
      </c>
      <c r="C146" s="33" t="s">
        <v>4</v>
      </c>
      <c r="D146" s="7">
        <f t="shared" ref="D146:F146" si="31">D147</f>
        <v>224.99</v>
      </c>
      <c r="E146" s="7">
        <f t="shared" si="31"/>
        <v>224.88200000000001</v>
      </c>
      <c r="F146" s="22">
        <f t="shared" si="31"/>
        <v>-0.10800000000000409</v>
      </c>
      <c r="G146" s="12">
        <f t="shared" si="27"/>
        <v>-4.8002133428154181E-2</v>
      </c>
      <c r="H146" s="64"/>
      <c r="I146" s="65"/>
      <c r="J146" s="32"/>
    </row>
    <row r="147" spans="1:10" ht="17.25" customHeight="1">
      <c r="A147" s="9" t="s">
        <v>146</v>
      </c>
      <c r="B147" s="10" t="s">
        <v>147</v>
      </c>
      <c r="C147" s="9" t="s">
        <v>4</v>
      </c>
      <c r="D147" s="11">
        <v>224.99</v>
      </c>
      <c r="E147" s="11">
        <v>224.88200000000001</v>
      </c>
      <c r="F147" s="17">
        <f t="shared" si="29"/>
        <v>-0.10800000000000409</v>
      </c>
      <c r="G147" s="12">
        <f t="shared" si="27"/>
        <v>-4.8002133428154181E-2</v>
      </c>
      <c r="H147" s="64"/>
      <c r="I147" s="65"/>
      <c r="J147" s="32"/>
    </row>
    <row r="148" spans="1:10" ht="18" customHeight="1">
      <c r="A148" s="33" t="s">
        <v>148</v>
      </c>
      <c r="B148" s="6" t="s">
        <v>149</v>
      </c>
      <c r="C148" s="33" t="s">
        <v>4</v>
      </c>
      <c r="D148" s="29">
        <f t="shared" ref="D148:F148" si="32">D149+D152+D155+D158+D161</f>
        <v>810.95999999999992</v>
      </c>
      <c r="E148" s="29">
        <f t="shared" si="32"/>
        <v>786.06000000000006</v>
      </c>
      <c r="F148" s="22">
        <f t="shared" si="32"/>
        <v>-24.90000000000002</v>
      </c>
      <c r="G148" s="12">
        <f t="shared" si="27"/>
        <v>-3.0704350399526517</v>
      </c>
      <c r="H148" s="64"/>
      <c r="I148" s="65"/>
      <c r="J148" s="32"/>
    </row>
    <row r="149" spans="1:10" ht="17.25" customHeight="1">
      <c r="A149" s="9" t="s">
        <v>150</v>
      </c>
      <c r="B149" s="10" t="s">
        <v>151</v>
      </c>
      <c r="C149" s="9" t="s">
        <v>4</v>
      </c>
      <c r="D149" s="11">
        <v>652.37</v>
      </c>
      <c r="E149" s="11">
        <v>628.81799999999998</v>
      </c>
      <c r="F149" s="17">
        <f t="shared" si="29"/>
        <v>-23.552000000000021</v>
      </c>
      <c r="G149" s="12">
        <f t="shared" si="27"/>
        <v>-3.6102211934944921</v>
      </c>
      <c r="H149" s="64"/>
      <c r="I149" s="65"/>
      <c r="J149" s="32"/>
    </row>
    <row r="150" spans="1:10" ht="17.25" customHeight="1">
      <c r="A150" s="9"/>
      <c r="B150" s="30" t="s">
        <v>13</v>
      </c>
      <c r="C150" s="9" t="s">
        <v>152</v>
      </c>
      <c r="D150" s="11">
        <v>139.31100000000001</v>
      </c>
      <c r="E150" s="17">
        <v>134.28</v>
      </c>
      <c r="F150" s="17">
        <f t="shared" si="29"/>
        <v>-5.0310000000000059</v>
      </c>
      <c r="G150" s="12">
        <f t="shared" si="27"/>
        <v>-3.6113444020931627</v>
      </c>
      <c r="H150" s="74" t="s">
        <v>308</v>
      </c>
      <c r="I150" s="75"/>
      <c r="J150" s="32"/>
    </row>
    <row r="151" spans="1:10" ht="17.25" customHeight="1">
      <c r="A151" s="9"/>
      <c r="B151" s="30" t="s">
        <v>15</v>
      </c>
      <c r="C151" s="9" t="s">
        <v>16</v>
      </c>
      <c r="D151" s="11">
        <f>D149/D150*1000</f>
        <v>4682.8319371765328</v>
      </c>
      <c r="E151" s="17">
        <f>E149/E150*1000</f>
        <v>4682.8865058087576</v>
      </c>
      <c r="F151" s="17">
        <f t="shared" si="29"/>
        <v>5.456863222480024E-2</v>
      </c>
      <c r="G151" s="12">
        <f t="shared" si="27"/>
        <v>1.1652912800817245E-3</v>
      </c>
      <c r="H151" s="64"/>
      <c r="I151" s="65"/>
      <c r="J151" s="32"/>
    </row>
    <row r="152" spans="1:10" ht="17.25" customHeight="1">
      <c r="A152" s="9" t="s">
        <v>153</v>
      </c>
      <c r="B152" s="10" t="s">
        <v>154</v>
      </c>
      <c r="C152" s="9" t="s">
        <v>4</v>
      </c>
      <c r="D152" s="11">
        <v>5.8040000000000003</v>
      </c>
      <c r="E152" s="11">
        <v>5.8040000000000003</v>
      </c>
      <c r="F152" s="17">
        <f t="shared" si="29"/>
        <v>0</v>
      </c>
      <c r="G152" s="12">
        <f t="shared" si="27"/>
        <v>0</v>
      </c>
      <c r="H152" s="64"/>
      <c r="I152" s="65"/>
      <c r="J152" s="32"/>
    </row>
    <row r="153" spans="1:10" ht="17.25" customHeight="1">
      <c r="A153" s="9"/>
      <c r="B153" s="30" t="s">
        <v>13</v>
      </c>
      <c r="C153" s="9" t="s">
        <v>155</v>
      </c>
      <c r="D153" s="11">
        <v>5</v>
      </c>
      <c r="E153" s="15">
        <v>5</v>
      </c>
      <c r="F153" s="17">
        <f t="shared" si="29"/>
        <v>0</v>
      </c>
      <c r="G153" s="12">
        <f t="shared" si="27"/>
        <v>0</v>
      </c>
      <c r="H153" s="64"/>
      <c r="I153" s="65"/>
      <c r="J153" s="32"/>
    </row>
    <row r="154" spans="1:10" ht="17.25" customHeight="1">
      <c r="A154" s="9"/>
      <c r="B154" s="30" t="s">
        <v>15</v>
      </c>
      <c r="C154" s="9" t="s">
        <v>16</v>
      </c>
      <c r="D154" s="17">
        <f>D152/D153*1000</f>
        <v>1160.8</v>
      </c>
      <c r="E154" s="17">
        <f>E152/E153*1000</f>
        <v>1160.8</v>
      </c>
      <c r="F154" s="17">
        <f t="shared" si="29"/>
        <v>0</v>
      </c>
      <c r="G154" s="12">
        <f t="shared" si="27"/>
        <v>0</v>
      </c>
      <c r="H154" s="64"/>
      <c r="I154" s="65"/>
      <c r="J154" s="32"/>
    </row>
    <row r="155" spans="1:10" ht="17.25" customHeight="1">
      <c r="A155" s="9" t="s">
        <v>156</v>
      </c>
      <c r="B155" s="10" t="s">
        <v>157</v>
      </c>
      <c r="C155" s="9" t="s">
        <v>4</v>
      </c>
      <c r="D155" s="11">
        <v>22.04</v>
      </c>
      <c r="E155" s="11">
        <v>21.141999999999999</v>
      </c>
      <c r="F155" s="17">
        <f t="shared" si="29"/>
        <v>-0.89799999999999969</v>
      </c>
      <c r="G155" s="12">
        <f t="shared" si="27"/>
        <v>-4.0744101633393814</v>
      </c>
      <c r="H155" s="64"/>
      <c r="I155" s="65"/>
      <c r="J155" s="32"/>
    </row>
    <row r="156" spans="1:10" ht="17.25" customHeight="1">
      <c r="A156" s="9"/>
      <c r="B156" s="30" t="s">
        <v>13</v>
      </c>
      <c r="C156" s="9" t="s">
        <v>155</v>
      </c>
      <c r="D156" s="15">
        <v>190</v>
      </c>
      <c r="E156" s="15">
        <v>182</v>
      </c>
      <c r="F156" s="17">
        <f t="shared" si="29"/>
        <v>-8</v>
      </c>
      <c r="G156" s="12">
        <f t="shared" si="27"/>
        <v>-4.2105263157894735</v>
      </c>
      <c r="H156" s="64"/>
      <c r="I156" s="65"/>
      <c r="J156" s="32"/>
    </row>
    <row r="157" spans="1:10" ht="17.25" customHeight="1">
      <c r="A157" s="9"/>
      <c r="B157" s="30" t="s">
        <v>15</v>
      </c>
      <c r="C157" s="9" t="s">
        <v>16</v>
      </c>
      <c r="D157" s="17">
        <f>D155/D156*1000</f>
        <v>115.99999999999999</v>
      </c>
      <c r="E157" s="17">
        <f>E155/E156*1000</f>
        <v>116.16483516483517</v>
      </c>
      <c r="F157" s="17">
        <f t="shared" si="29"/>
        <v>0.16483516483518201</v>
      </c>
      <c r="G157" s="12">
        <f t="shared" si="27"/>
        <v>0.14209928003032932</v>
      </c>
      <c r="H157" s="64"/>
      <c r="I157" s="65"/>
      <c r="J157" s="32"/>
    </row>
    <row r="158" spans="1:10" ht="17.25" customHeight="1">
      <c r="A158" s="9" t="s">
        <v>158</v>
      </c>
      <c r="B158" s="10" t="s">
        <v>159</v>
      </c>
      <c r="C158" s="9" t="s">
        <v>4</v>
      </c>
      <c r="D158" s="11">
        <v>120</v>
      </c>
      <c r="E158" s="11">
        <v>120</v>
      </c>
      <c r="F158" s="17">
        <f t="shared" si="29"/>
        <v>0</v>
      </c>
      <c r="G158" s="12">
        <f t="shared" si="27"/>
        <v>0</v>
      </c>
      <c r="H158" s="64"/>
      <c r="I158" s="65"/>
      <c r="J158" s="32"/>
    </row>
    <row r="159" spans="1:10" ht="17.25" customHeight="1">
      <c r="A159" s="9"/>
      <c r="B159" s="30" t="s">
        <v>13</v>
      </c>
      <c r="C159" s="9" t="s">
        <v>155</v>
      </c>
      <c r="D159" s="15">
        <v>120</v>
      </c>
      <c r="E159" s="15">
        <v>120</v>
      </c>
      <c r="F159" s="17">
        <f t="shared" si="29"/>
        <v>0</v>
      </c>
      <c r="G159" s="12">
        <f t="shared" si="27"/>
        <v>0</v>
      </c>
      <c r="H159" s="64"/>
      <c r="I159" s="65"/>
      <c r="J159" s="32"/>
    </row>
    <row r="160" spans="1:10" ht="17.25" customHeight="1">
      <c r="A160" s="9"/>
      <c r="B160" s="30" t="s">
        <v>15</v>
      </c>
      <c r="C160" s="9" t="s">
        <v>16</v>
      </c>
      <c r="D160" s="17">
        <f>D158/D159*1000</f>
        <v>1000</v>
      </c>
      <c r="E160" s="17">
        <f>E158/E159*1000</f>
        <v>1000</v>
      </c>
      <c r="F160" s="17">
        <f t="shared" si="29"/>
        <v>0</v>
      </c>
      <c r="G160" s="12">
        <f t="shared" si="27"/>
        <v>0</v>
      </c>
      <c r="H160" s="64"/>
      <c r="I160" s="65"/>
      <c r="J160" s="32"/>
    </row>
    <row r="161" spans="1:10" ht="17.25" customHeight="1">
      <c r="A161" s="9" t="s">
        <v>158</v>
      </c>
      <c r="B161" s="10" t="s">
        <v>224</v>
      </c>
      <c r="C161" s="9" t="s">
        <v>4</v>
      </c>
      <c r="D161" s="11">
        <v>10.746</v>
      </c>
      <c r="E161" s="11">
        <v>10.295999999999999</v>
      </c>
      <c r="F161" s="17">
        <f t="shared" si="29"/>
        <v>-0.45000000000000107</v>
      </c>
      <c r="G161" s="12">
        <f t="shared" si="27"/>
        <v>-4.1876046901172632</v>
      </c>
      <c r="H161" s="64"/>
      <c r="I161" s="65"/>
      <c r="J161" s="32"/>
    </row>
    <row r="162" spans="1:10" ht="17.25" customHeight="1">
      <c r="A162" s="9"/>
      <c r="B162" s="30" t="s">
        <v>13</v>
      </c>
      <c r="C162" s="9" t="s">
        <v>155</v>
      </c>
      <c r="D162" s="15">
        <v>190</v>
      </c>
      <c r="E162" s="15">
        <v>182</v>
      </c>
      <c r="F162" s="17">
        <f t="shared" si="29"/>
        <v>-8</v>
      </c>
      <c r="G162" s="12">
        <f t="shared" si="27"/>
        <v>-4.2105263157894735</v>
      </c>
      <c r="H162" s="64"/>
      <c r="I162" s="65"/>
      <c r="J162" s="32"/>
    </row>
    <row r="163" spans="1:10" ht="17.25" customHeight="1">
      <c r="A163" s="9"/>
      <c r="B163" s="30" t="s">
        <v>15</v>
      </c>
      <c r="C163" s="9" t="s">
        <v>16</v>
      </c>
      <c r="D163" s="17">
        <f>D161/D162*1000</f>
        <v>56.557894736842108</v>
      </c>
      <c r="E163" s="17">
        <f>E161/E162*1000</f>
        <v>56.571428571428569</v>
      </c>
      <c r="F163" s="17">
        <f t="shared" si="29"/>
        <v>1.3533834586461069E-2</v>
      </c>
      <c r="G163" s="12">
        <f t="shared" si="27"/>
        <v>2.392916965780386E-2</v>
      </c>
      <c r="H163" s="64"/>
      <c r="I163" s="65"/>
      <c r="J163" s="32"/>
    </row>
    <row r="164" spans="1:10" ht="17.25" customHeight="1">
      <c r="A164" s="17" t="s">
        <v>160</v>
      </c>
      <c r="B164" s="10" t="s">
        <v>108</v>
      </c>
      <c r="C164" s="9" t="s">
        <v>4</v>
      </c>
      <c r="D164" s="11">
        <v>669.68700000000001</v>
      </c>
      <c r="E164" s="11">
        <f>E165+E166+E167</f>
        <v>703.10200000000009</v>
      </c>
      <c r="F164" s="17">
        <f>E164-D164</f>
        <v>33.415000000000077</v>
      </c>
      <c r="G164" s="12">
        <f t="shared" si="27"/>
        <v>4.9896444159734443</v>
      </c>
      <c r="H164" s="64"/>
      <c r="I164" s="65"/>
      <c r="J164" s="32"/>
    </row>
    <row r="165" spans="1:10" ht="17.25" hidden="1" customHeight="1">
      <c r="A165" s="17"/>
      <c r="B165" s="10" t="s">
        <v>221</v>
      </c>
      <c r="C165" s="9" t="s">
        <v>4</v>
      </c>
      <c r="D165" s="11"/>
      <c r="E165" s="11">
        <v>589.63800000000003</v>
      </c>
      <c r="F165" s="17"/>
      <c r="G165" s="12"/>
      <c r="H165" s="64"/>
      <c r="I165" s="65"/>
      <c r="J165" s="32"/>
    </row>
    <row r="166" spans="1:10" ht="37.5" hidden="1">
      <c r="A166" s="17"/>
      <c r="B166" s="10" t="s">
        <v>222</v>
      </c>
      <c r="C166" s="9" t="s">
        <v>4</v>
      </c>
      <c r="D166" s="11"/>
      <c r="E166" s="11">
        <v>113.464</v>
      </c>
      <c r="F166" s="17"/>
      <c r="G166" s="12"/>
      <c r="H166" s="64"/>
      <c r="I166" s="65"/>
      <c r="J166" s="32"/>
    </row>
    <row r="167" spans="1:10" ht="18.75" hidden="1">
      <c r="A167" s="17"/>
      <c r="B167" s="10" t="s">
        <v>223</v>
      </c>
      <c r="C167" s="9" t="s">
        <v>4</v>
      </c>
      <c r="D167" s="11"/>
      <c r="E167" s="11"/>
      <c r="F167" s="17"/>
      <c r="G167" s="12"/>
      <c r="H167" s="64"/>
      <c r="I167" s="65"/>
      <c r="J167" s="32"/>
    </row>
    <row r="168" spans="1:10" ht="18.75">
      <c r="A168" s="17" t="s">
        <v>161</v>
      </c>
      <c r="B168" s="10" t="s">
        <v>162</v>
      </c>
      <c r="C168" s="9" t="s">
        <v>4</v>
      </c>
      <c r="D168" s="11">
        <v>680.3</v>
      </c>
      <c r="E168" s="11">
        <f>714.356-34</f>
        <v>680.35599999999999</v>
      </c>
      <c r="F168" s="17">
        <f t="shared" ref="F168" si="33">E168-D168</f>
        <v>5.6000000000040018E-2</v>
      </c>
      <c r="G168" s="12">
        <f t="shared" si="27"/>
        <v>8.2316625018433072E-3</v>
      </c>
      <c r="H168" s="64"/>
      <c r="I168" s="65"/>
      <c r="J168" s="32"/>
    </row>
    <row r="169" spans="1:10" ht="35.25" customHeight="1">
      <c r="A169" s="17" t="s">
        <v>163</v>
      </c>
      <c r="B169" s="10" t="s">
        <v>165</v>
      </c>
      <c r="C169" s="9" t="s">
        <v>4</v>
      </c>
      <c r="D169" s="11">
        <v>0</v>
      </c>
      <c r="E169" s="11">
        <v>0</v>
      </c>
      <c r="F169" s="17">
        <v>0</v>
      </c>
      <c r="G169" s="12"/>
      <c r="H169" s="64"/>
      <c r="I169" s="65"/>
      <c r="J169" s="32"/>
    </row>
    <row r="170" spans="1:10" ht="17.25" customHeight="1">
      <c r="A170" s="17" t="s">
        <v>164</v>
      </c>
      <c r="B170" s="6" t="s">
        <v>169</v>
      </c>
      <c r="C170" s="33" t="s">
        <v>4</v>
      </c>
      <c r="D170" s="7">
        <f t="shared" ref="D170:F170" si="34">D171+D172+D173</f>
        <v>3629.2890000000002</v>
      </c>
      <c r="E170" s="7">
        <f t="shared" si="34"/>
        <v>3516.3780000000002</v>
      </c>
      <c r="F170" s="22">
        <f t="shared" si="34"/>
        <v>-112.91099999999994</v>
      </c>
      <c r="G170" s="12">
        <f t="shared" si="27"/>
        <v>-3.111105233008447</v>
      </c>
      <c r="H170" s="64"/>
      <c r="I170" s="65"/>
      <c r="J170" s="32"/>
    </row>
    <row r="171" spans="1:10" ht="17.25" customHeight="1">
      <c r="A171" s="9" t="s">
        <v>166</v>
      </c>
      <c r="B171" s="10" t="s">
        <v>170</v>
      </c>
      <c r="C171" s="9" t="s">
        <v>4</v>
      </c>
      <c r="D171" s="11">
        <v>654.61</v>
      </c>
      <c r="E171" s="11">
        <v>678.90200000000004</v>
      </c>
      <c r="F171" s="17">
        <f t="shared" ref="F171:F174" si="35">E171-D171</f>
        <v>24.29200000000003</v>
      </c>
      <c r="G171" s="12">
        <f t="shared" si="27"/>
        <v>3.7109118406379413</v>
      </c>
      <c r="H171" s="64"/>
      <c r="I171" s="65"/>
      <c r="J171" s="32"/>
    </row>
    <row r="172" spans="1:10" ht="17.25" customHeight="1">
      <c r="A172" s="9" t="s">
        <v>167</v>
      </c>
      <c r="B172" s="10" t="s">
        <v>171</v>
      </c>
      <c r="C172" s="9" t="s">
        <v>4</v>
      </c>
      <c r="D172" s="11">
        <v>2021.7280000000001</v>
      </c>
      <c r="E172" s="11">
        <v>1938.2840000000001</v>
      </c>
      <c r="F172" s="17">
        <f t="shared" si="35"/>
        <v>-83.44399999999996</v>
      </c>
      <c r="G172" s="12">
        <f t="shared" si="27"/>
        <v>-4.1273603570806738</v>
      </c>
      <c r="H172" s="74" t="s">
        <v>304</v>
      </c>
      <c r="I172" s="75"/>
      <c r="J172" s="32"/>
    </row>
    <row r="173" spans="1:10" ht="17.25" customHeight="1">
      <c r="A173" s="9" t="s">
        <v>269</v>
      </c>
      <c r="B173" s="10" t="s">
        <v>172</v>
      </c>
      <c r="C173" s="9" t="s">
        <v>4</v>
      </c>
      <c r="D173" s="11">
        <v>952.95100000000002</v>
      </c>
      <c r="E173" s="11">
        <v>899.19200000000001</v>
      </c>
      <c r="F173" s="17">
        <f t="shared" si="35"/>
        <v>-53.759000000000015</v>
      </c>
      <c r="G173" s="12">
        <f t="shared" si="27"/>
        <v>-5.6413183888783385</v>
      </c>
      <c r="H173" s="74" t="s">
        <v>304</v>
      </c>
      <c r="I173" s="75"/>
      <c r="J173" s="32"/>
    </row>
    <row r="174" spans="1:10" ht="53.25" customHeight="1">
      <c r="A174" s="9" t="s">
        <v>168</v>
      </c>
      <c r="B174" s="10" t="s">
        <v>174</v>
      </c>
      <c r="C174" s="9" t="s">
        <v>4</v>
      </c>
      <c r="D174" s="11">
        <v>825.99</v>
      </c>
      <c r="E174" s="11">
        <v>810.78300000000002</v>
      </c>
      <c r="F174" s="17">
        <f t="shared" si="35"/>
        <v>-15.206999999999994</v>
      </c>
      <c r="G174" s="12">
        <f t="shared" si="27"/>
        <v>-1.8410634511313688</v>
      </c>
      <c r="H174" s="66" t="s">
        <v>309</v>
      </c>
      <c r="I174" s="67"/>
      <c r="J174" s="32"/>
    </row>
    <row r="175" spans="1:10" ht="29.25" customHeight="1">
      <c r="A175" s="33" t="s">
        <v>173</v>
      </c>
      <c r="B175" s="6" t="s">
        <v>176</v>
      </c>
      <c r="C175" s="33" t="s">
        <v>4</v>
      </c>
      <c r="D175" s="7">
        <f t="shared" ref="D175:F175" si="36">D176+D177+D178</f>
        <v>704.80899999999997</v>
      </c>
      <c r="E175" s="7">
        <f t="shared" si="36"/>
        <v>888.13000000000011</v>
      </c>
      <c r="F175" s="22">
        <f t="shared" si="36"/>
        <v>183.32100000000011</v>
      </c>
      <c r="G175" s="12">
        <f t="shared" si="27"/>
        <v>26.010025411139772</v>
      </c>
      <c r="H175" s="79" t="s">
        <v>295</v>
      </c>
      <c r="I175" s="80"/>
      <c r="J175" s="32"/>
    </row>
    <row r="176" spans="1:10" ht="17.25" customHeight="1">
      <c r="A176" s="9" t="s">
        <v>270</v>
      </c>
      <c r="B176" s="10" t="s">
        <v>177</v>
      </c>
      <c r="C176" s="9" t="s">
        <v>4</v>
      </c>
      <c r="D176" s="11">
        <v>279.37299999999999</v>
      </c>
      <c r="E176" s="11">
        <f>252.625+60.451</f>
        <v>313.07600000000002</v>
      </c>
      <c r="F176" s="17">
        <f t="shared" ref="F176:F178" si="37">E176-D176</f>
        <v>33.703000000000031</v>
      </c>
      <c r="G176" s="12">
        <f t="shared" si="27"/>
        <v>12.063800009306567</v>
      </c>
      <c r="H176" s="64"/>
      <c r="I176" s="65"/>
      <c r="J176" s="32"/>
    </row>
    <row r="177" spans="1:10" ht="17.25" customHeight="1">
      <c r="A177" s="9" t="s">
        <v>271</v>
      </c>
      <c r="B177" s="10" t="s">
        <v>178</v>
      </c>
      <c r="C177" s="9" t="s">
        <v>4</v>
      </c>
      <c r="D177" s="11">
        <v>66.230999999999995</v>
      </c>
      <c r="E177" s="11">
        <f>71.059+30.983</f>
        <v>102.042</v>
      </c>
      <c r="F177" s="17">
        <f t="shared" si="37"/>
        <v>35.811000000000007</v>
      </c>
      <c r="G177" s="12">
        <f t="shared" si="27"/>
        <v>54.069846446528082</v>
      </c>
      <c r="H177" s="64"/>
      <c r="I177" s="65"/>
      <c r="J177" s="32"/>
    </row>
    <row r="178" spans="1:10" ht="17.25" customHeight="1">
      <c r="A178" s="9" t="s">
        <v>272</v>
      </c>
      <c r="B178" s="10" t="s">
        <v>179</v>
      </c>
      <c r="C178" s="9" t="s">
        <v>4</v>
      </c>
      <c r="D178" s="11">
        <v>359.20499999999998</v>
      </c>
      <c r="E178" s="11">
        <f>383.307+131.949-42.244</f>
        <v>473.01200000000006</v>
      </c>
      <c r="F178" s="17">
        <f t="shared" si="37"/>
        <v>113.80700000000007</v>
      </c>
      <c r="G178" s="12">
        <f t="shared" si="27"/>
        <v>31.683022229646046</v>
      </c>
      <c r="H178" s="64"/>
      <c r="I178" s="65"/>
      <c r="J178" s="32"/>
    </row>
    <row r="179" spans="1:10" ht="17.25" customHeight="1">
      <c r="A179" s="33" t="s">
        <v>175</v>
      </c>
      <c r="B179" s="6" t="s">
        <v>180</v>
      </c>
      <c r="C179" s="33" t="s">
        <v>4</v>
      </c>
      <c r="D179" s="7">
        <f>D180+D181+D182+D183+D188+D189+D190+D191+D195</f>
        <v>2573.8890000000001</v>
      </c>
      <c r="E179" s="7">
        <f>E180+E181+E182+E183+E188+E189+E190+E191+E192+E193+E194+E195</f>
        <v>2555.5649999999996</v>
      </c>
      <c r="F179" s="7">
        <f>F180+F181+F182+F183+F188+F189+F190+F191+F192+F193+F194+F195</f>
        <v>-18.323999999999973</v>
      </c>
      <c r="G179" s="12">
        <f t="shared" si="27"/>
        <v>-0.71191881234971566</v>
      </c>
      <c r="H179" s="76"/>
      <c r="I179" s="65"/>
      <c r="J179" s="32"/>
    </row>
    <row r="180" spans="1:10" ht="17.25" customHeight="1">
      <c r="A180" s="19" t="s">
        <v>273</v>
      </c>
      <c r="B180" s="10" t="s">
        <v>181</v>
      </c>
      <c r="C180" s="9" t="s">
        <v>4</v>
      </c>
      <c r="D180" s="11">
        <v>210</v>
      </c>
      <c r="E180" s="11">
        <v>210</v>
      </c>
      <c r="F180" s="17">
        <f t="shared" ref="F180:F182" si="38">E180-D180</f>
        <v>0</v>
      </c>
      <c r="G180" s="12">
        <f t="shared" si="27"/>
        <v>0</v>
      </c>
      <c r="H180" s="64"/>
      <c r="I180" s="65"/>
      <c r="J180" s="32"/>
    </row>
    <row r="181" spans="1:10" ht="17.25" customHeight="1">
      <c r="A181" s="19" t="s">
        <v>274</v>
      </c>
      <c r="B181" s="10" t="s">
        <v>182</v>
      </c>
      <c r="C181" s="9" t="s">
        <v>4</v>
      </c>
      <c r="D181" s="11">
        <v>167.16</v>
      </c>
      <c r="E181" s="11">
        <f>119.66+47.5</f>
        <v>167.16</v>
      </c>
      <c r="F181" s="17">
        <f t="shared" si="38"/>
        <v>0</v>
      </c>
      <c r="G181" s="12">
        <f t="shared" si="27"/>
        <v>0</v>
      </c>
      <c r="H181" s="64"/>
      <c r="I181" s="65"/>
      <c r="J181" s="32"/>
    </row>
    <row r="182" spans="1:10" ht="33.75" customHeight="1">
      <c r="A182" s="19" t="s">
        <v>275</v>
      </c>
      <c r="B182" s="10" t="s">
        <v>237</v>
      </c>
      <c r="C182" s="9" t="s">
        <v>4</v>
      </c>
      <c r="D182" s="11">
        <v>24.47</v>
      </c>
      <c r="E182" s="11">
        <v>26.53</v>
      </c>
      <c r="F182" s="17">
        <f t="shared" si="38"/>
        <v>2.0600000000000023</v>
      </c>
      <c r="G182" s="12">
        <f t="shared" si="27"/>
        <v>8.4184715978749587</v>
      </c>
      <c r="H182" s="64"/>
      <c r="I182" s="65"/>
      <c r="J182" s="32"/>
    </row>
    <row r="183" spans="1:10" ht="36.75" customHeight="1">
      <c r="A183" s="19" t="s">
        <v>276</v>
      </c>
      <c r="B183" s="10" t="s">
        <v>183</v>
      </c>
      <c r="C183" s="9" t="s">
        <v>4</v>
      </c>
      <c r="D183" s="11">
        <f t="shared" ref="D183:F183" si="39">D184+D185+D186+D187</f>
        <v>1651.19</v>
      </c>
      <c r="E183" s="11">
        <f t="shared" si="39"/>
        <v>1651.1889999999999</v>
      </c>
      <c r="F183" s="17">
        <f t="shared" si="39"/>
        <v>-9.9999999997635314E-4</v>
      </c>
      <c r="G183" s="12">
        <f t="shared" si="27"/>
        <v>-6.0562382280437327E-5</v>
      </c>
      <c r="H183" s="64"/>
      <c r="I183" s="65"/>
      <c r="J183" s="32"/>
    </row>
    <row r="184" spans="1:10" ht="74.25" customHeight="1">
      <c r="A184" s="9" t="s">
        <v>277</v>
      </c>
      <c r="B184" s="10" t="s">
        <v>184</v>
      </c>
      <c r="C184" s="9" t="s">
        <v>4</v>
      </c>
      <c r="D184" s="11">
        <v>394.642</v>
      </c>
      <c r="E184" s="11">
        <f>394.642-74.242+74.242</f>
        <v>394.642</v>
      </c>
      <c r="F184" s="17">
        <f t="shared" ref="F184:F204" si="40">E184-D184</f>
        <v>0</v>
      </c>
      <c r="G184" s="12">
        <f t="shared" si="27"/>
        <v>0</v>
      </c>
      <c r="H184" s="64"/>
      <c r="I184" s="65"/>
      <c r="J184" s="32"/>
    </row>
    <row r="185" spans="1:10" ht="93" customHeight="1">
      <c r="A185" s="9" t="s">
        <v>278</v>
      </c>
      <c r="B185" s="10" t="s">
        <v>238</v>
      </c>
      <c r="C185" s="9" t="s">
        <v>4</v>
      </c>
      <c r="D185" s="11">
        <v>1043.8119999999999</v>
      </c>
      <c r="E185" s="11">
        <f>1043.811-260.953+260.953</f>
        <v>1043.8109999999999</v>
      </c>
      <c r="F185" s="17">
        <f t="shared" si="40"/>
        <v>-9.9999999997635314E-4</v>
      </c>
      <c r="G185" s="12">
        <f t="shared" si="27"/>
        <v>-9.5802692436602877E-5</v>
      </c>
      <c r="H185" s="64"/>
      <c r="I185" s="65"/>
      <c r="J185" s="32"/>
    </row>
    <row r="186" spans="1:10" ht="90.75" customHeight="1">
      <c r="A186" s="9" t="s">
        <v>279</v>
      </c>
      <c r="B186" s="10" t="s">
        <v>185</v>
      </c>
      <c r="C186" s="9" t="s">
        <v>4</v>
      </c>
      <c r="D186" s="11">
        <v>0</v>
      </c>
      <c r="E186" s="11">
        <v>0</v>
      </c>
      <c r="F186" s="17">
        <f t="shared" si="40"/>
        <v>0</v>
      </c>
      <c r="G186" s="12"/>
      <c r="H186" s="64"/>
      <c r="I186" s="65"/>
      <c r="J186" s="32"/>
    </row>
    <row r="187" spans="1:10" ht="37.5" customHeight="1">
      <c r="A187" s="9" t="s">
        <v>280</v>
      </c>
      <c r="B187" s="10" t="s">
        <v>186</v>
      </c>
      <c r="C187" s="9" t="s">
        <v>4</v>
      </c>
      <c r="D187" s="11">
        <v>212.73599999999999</v>
      </c>
      <c r="E187" s="11">
        <f>212.736-106.368+106.368</f>
        <v>212.73599999999999</v>
      </c>
      <c r="F187" s="17">
        <f t="shared" si="40"/>
        <v>0</v>
      </c>
      <c r="G187" s="12">
        <f t="shared" si="27"/>
        <v>0</v>
      </c>
      <c r="H187" s="64"/>
      <c r="I187" s="65"/>
      <c r="J187" s="32"/>
    </row>
    <row r="188" spans="1:10" ht="17.25" customHeight="1">
      <c r="A188" s="19" t="s">
        <v>281</v>
      </c>
      <c r="B188" s="28" t="s">
        <v>187</v>
      </c>
      <c r="C188" s="9" t="s">
        <v>4</v>
      </c>
      <c r="D188" s="11">
        <v>442.053</v>
      </c>
      <c r="E188" s="11">
        <v>442.053</v>
      </c>
      <c r="F188" s="17">
        <f t="shared" si="40"/>
        <v>0</v>
      </c>
      <c r="G188" s="12">
        <f t="shared" si="27"/>
        <v>0</v>
      </c>
      <c r="H188" s="64"/>
      <c r="I188" s="65"/>
      <c r="J188" s="32"/>
    </row>
    <row r="189" spans="1:10" ht="17.25" customHeight="1">
      <c r="A189" s="19"/>
      <c r="B189" s="28" t="s">
        <v>125</v>
      </c>
      <c r="C189" s="9" t="s">
        <v>4</v>
      </c>
      <c r="D189" s="11">
        <v>0</v>
      </c>
      <c r="E189" s="11">
        <v>0</v>
      </c>
      <c r="F189" s="17">
        <f t="shared" si="40"/>
        <v>0</v>
      </c>
      <c r="G189" s="12"/>
      <c r="H189" s="64"/>
      <c r="I189" s="65"/>
      <c r="J189" s="32"/>
    </row>
    <row r="190" spans="1:10" ht="17.25" customHeight="1">
      <c r="A190" s="19" t="s">
        <v>282</v>
      </c>
      <c r="B190" s="28" t="s">
        <v>188</v>
      </c>
      <c r="C190" s="9" t="s">
        <v>4</v>
      </c>
      <c r="D190" s="11">
        <v>13.225</v>
      </c>
      <c r="E190" s="11">
        <v>13.225</v>
      </c>
      <c r="F190" s="17">
        <f t="shared" si="40"/>
        <v>0</v>
      </c>
      <c r="G190" s="12">
        <f t="shared" si="27"/>
        <v>0</v>
      </c>
      <c r="H190" s="64"/>
      <c r="I190" s="65"/>
      <c r="J190" s="32"/>
    </row>
    <row r="191" spans="1:10" ht="27" customHeight="1">
      <c r="A191" s="19" t="s">
        <v>283</v>
      </c>
      <c r="B191" s="28" t="s">
        <v>189</v>
      </c>
      <c r="C191" s="9" t="s">
        <v>4</v>
      </c>
      <c r="D191" s="11">
        <v>41.890999999999998</v>
      </c>
      <c r="E191" s="11">
        <v>21.507999999999999</v>
      </c>
      <c r="F191" s="17">
        <f t="shared" si="40"/>
        <v>-20.382999999999999</v>
      </c>
      <c r="G191" s="12">
        <f t="shared" si="27"/>
        <v>-48.657229476498529</v>
      </c>
      <c r="H191" s="66" t="s">
        <v>291</v>
      </c>
      <c r="I191" s="67"/>
      <c r="J191" s="32"/>
    </row>
    <row r="192" spans="1:10" ht="17.25" hidden="1" customHeight="1">
      <c r="A192" s="19" t="s">
        <v>284</v>
      </c>
      <c r="B192" s="28" t="s">
        <v>225</v>
      </c>
      <c r="C192" s="9" t="s">
        <v>4</v>
      </c>
      <c r="D192" s="11">
        <v>0</v>
      </c>
      <c r="E192" s="11">
        <f>4010.692-4010.692</f>
        <v>0</v>
      </c>
      <c r="F192" s="17">
        <f t="shared" si="40"/>
        <v>0</v>
      </c>
      <c r="G192" s="12"/>
      <c r="H192" s="66" t="s">
        <v>292</v>
      </c>
      <c r="I192" s="67"/>
      <c r="J192" s="32"/>
    </row>
    <row r="193" spans="1:10" ht="17.25" hidden="1" customHeight="1">
      <c r="A193" s="19" t="s">
        <v>285</v>
      </c>
      <c r="B193" s="28" t="s">
        <v>228</v>
      </c>
      <c r="C193" s="9" t="s">
        <v>4</v>
      </c>
      <c r="D193" s="11">
        <v>0</v>
      </c>
      <c r="E193" s="11">
        <f>7.051-7.051</f>
        <v>0</v>
      </c>
      <c r="F193" s="17">
        <f t="shared" si="40"/>
        <v>0</v>
      </c>
      <c r="G193" s="12"/>
      <c r="H193" s="66" t="s">
        <v>292</v>
      </c>
      <c r="I193" s="67"/>
      <c r="J193" s="32"/>
    </row>
    <row r="194" spans="1:10" ht="34.5" hidden="1" customHeight="1">
      <c r="A194" s="19" t="s">
        <v>286</v>
      </c>
      <c r="B194" s="28" t="s">
        <v>231</v>
      </c>
      <c r="C194" s="9" t="s">
        <v>4</v>
      </c>
      <c r="D194" s="11">
        <v>0</v>
      </c>
      <c r="E194" s="11">
        <f>180.761-180.761</f>
        <v>0</v>
      </c>
      <c r="F194" s="17">
        <f t="shared" si="40"/>
        <v>0</v>
      </c>
      <c r="G194" s="12"/>
      <c r="H194" s="66" t="s">
        <v>292</v>
      </c>
      <c r="I194" s="67"/>
      <c r="J194" s="32"/>
    </row>
    <row r="195" spans="1:10" ht="17.25" customHeight="1">
      <c r="A195" s="19" t="s">
        <v>284</v>
      </c>
      <c r="B195" s="28" t="s">
        <v>230</v>
      </c>
      <c r="C195" s="9" t="s">
        <v>4</v>
      </c>
      <c r="D195" s="11">
        <v>23.9</v>
      </c>
      <c r="E195" s="11">
        <v>23.9</v>
      </c>
      <c r="F195" s="17">
        <f t="shared" si="40"/>
        <v>0</v>
      </c>
      <c r="G195" s="12">
        <f t="shared" si="27"/>
        <v>0</v>
      </c>
      <c r="H195" s="64"/>
      <c r="I195" s="65"/>
      <c r="J195" s="32"/>
    </row>
    <row r="196" spans="1:10" ht="21" customHeight="1">
      <c r="A196" s="33" t="s">
        <v>190</v>
      </c>
      <c r="B196" s="6" t="s">
        <v>191</v>
      </c>
      <c r="C196" s="33" t="s">
        <v>4</v>
      </c>
      <c r="D196" s="7">
        <f>D8+D133</f>
        <v>738351.84600000002</v>
      </c>
      <c r="E196" s="7">
        <f>E8+E133</f>
        <v>732005.255</v>
      </c>
      <c r="F196" s="22">
        <f t="shared" si="40"/>
        <v>-6346.5910000000149</v>
      </c>
      <c r="G196" s="8">
        <f t="shared" si="27"/>
        <v>-0.85956187884983148</v>
      </c>
      <c r="H196" s="64"/>
      <c r="I196" s="65"/>
      <c r="J196" s="32"/>
    </row>
    <row r="197" spans="1:10" ht="17.25" customHeight="1">
      <c r="A197" s="33" t="s">
        <v>192</v>
      </c>
      <c r="B197" s="6" t="s">
        <v>193</v>
      </c>
      <c r="C197" s="33" t="s">
        <v>4</v>
      </c>
      <c r="D197" s="7">
        <v>105.32</v>
      </c>
      <c r="E197" s="7">
        <f>E198-E196</f>
        <v>-6346.9329999999609</v>
      </c>
      <c r="F197" s="22">
        <f t="shared" si="40"/>
        <v>-6452.2529999999606</v>
      </c>
      <c r="G197" s="24">
        <f t="shared" si="27"/>
        <v>-6126.3321306494117</v>
      </c>
      <c r="H197" s="64"/>
      <c r="I197" s="65"/>
      <c r="J197" s="32"/>
    </row>
    <row r="198" spans="1:10" ht="17.25" customHeight="1">
      <c r="A198" s="33" t="s">
        <v>194</v>
      </c>
      <c r="B198" s="6" t="s">
        <v>195</v>
      </c>
      <c r="C198" s="33" t="s">
        <v>4</v>
      </c>
      <c r="D198" s="7">
        <f>D196+D197</f>
        <v>738457.16599999997</v>
      </c>
      <c r="E198" s="7">
        <v>725658.32200000004</v>
      </c>
      <c r="F198" s="22">
        <f t="shared" si="40"/>
        <v>-12798.843999999925</v>
      </c>
      <c r="G198" s="8">
        <f t="shared" si="27"/>
        <v>-1.7331870539394192</v>
      </c>
      <c r="H198" s="64"/>
      <c r="I198" s="65"/>
      <c r="J198" s="32"/>
    </row>
    <row r="199" spans="1:10" ht="17.25" customHeight="1">
      <c r="A199" s="81" t="s">
        <v>196</v>
      </c>
      <c r="B199" s="82" t="s">
        <v>197</v>
      </c>
      <c r="C199" s="33" t="s">
        <v>114</v>
      </c>
      <c r="D199" s="7">
        <v>5678.2539999999999</v>
      </c>
      <c r="E199" s="7">
        <v>5579.8410000000003</v>
      </c>
      <c r="F199" s="22">
        <f t="shared" si="40"/>
        <v>-98.412999999999556</v>
      </c>
      <c r="G199" s="8">
        <f t="shared" si="27"/>
        <v>-1.7331560018273147</v>
      </c>
      <c r="H199" s="64"/>
      <c r="I199" s="65"/>
      <c r="J199" s="32"/>
    </row>
    <row r="200" spans="1:10" ht="17.25" customHeight="1">
      <c r="A200" s="81"/>
      <c r="B200" s="82"/>
      <c r="C200" s="33" t="s">
        <v>4</v>
      </c>
      <c r="D200" s="7">
        <f>D198</f>
        <v>738457.16599999997</v>
      </c>
      <c r="E200" s="7">
        <v>725658.32200000004</v>
      </c>
      <c r="F200" s="22">
        <f t="shared" si="40"/>
        <v>-12798.843999999925</v>
      </c>
      <c r="G200" s="8">
        <f t="shared" si="27"/>
        <v>-1.7331870539394192</v>
      </c>
      <c r="H200" s="64"/>
      <c r="I200" s="65"/>
      <c r="J200" s="32"/>
    </row>
    <row r="201" spans="1:10" ht="17.25" customHeight="1">
      <c r="A201" s="33" t="s">
        <v>198</v>
      </c>
      <c r="B201" s="34" t="s">
        <v>199</v>
      </c>
      <c r="C201" s="33" t="s">
        <v>114</v>
      </c>
      <c r="D201" s="7">
        <v>7755.0590000000002</v>
      </c>
      <c r="E201" s="7">
        <v>7612.2749999999996</v>
      </c>
      <c r="F201" s="22">
        <f t="shared" si="40"/>
        <v>-142.78400000000056</v>
      </c>
      <c r="G201" s="8">
        <f t="shared" ref="G201:G211" si="41">F201/D201*100</f>
        <v>-1.8411723237695621</v>
      </c>
      <c r="H201" s="64"/>
      <c r="I201" s="65"/>
      <c r="J201" s="32"/>
    </row>
    <row r="202" spans="1:10" ht="17.25" customHeight="1">
      <c r="A202" s="81" t="s">
        <v>200</v>
      </c>
      <c r="B202" s="82" t="s">
        <v>201</v>
      </c>
      <c r="C202" s="33" t="s">
        <v>202</v>
      </c>
      <c r="D202" s="22">
        <f>D203/D201*100</f>
        <v>26.780002576382721</v>
      </c>
      <c r="E202" s="22">
        <f>E203/E201*100</f>
        <v>26.699429539789342</v>
      </c>
      <c r="F202" s="22">
        <f t="shared" si="40"/>
        <v>-8.0573036593378333E-2</v>
      </c>
      <c r="G202" s="8">
        <f>F202/D202*100</f>
        <v>-0.30087015997689143</v>
      </c>
      <c r="H202" s="64"/>
      <c r="I202" s="65"/>
      <c r="J202" s="32"/>
    </row>
    <row r="203" spans="1:10" ht="17.25" customHeight="1">
      <c r="A203" s="81"/>
      <c r="B203" s="82"/>
      <c r="C203" s="33" t="s">
        <v>114</v>
      </c>
      <c r="D203" s="7">
        <f>D201-D199</f>
        <v>2076.8050000000003</v>
      </c>
      <c r="E203" s="7">
        <f>E201-E199</f>
        <v>2032.4339999999993</v>
      </c>
      <c r="F203" s="22">
        <f t="shared" si="40"/>
        <v>-44.371000000001004</v>
      </c>
      <c r="G203" s="8">
        <f t="shared" si="41"/>
        <v>-2.1365029456304754</v>
      </c>
      <c r="H203" s="64"/>
      <c r="I203" s="65"/>
      <c r="J203" s="32"/>
    </row>
    <row r="204" spans="1:10" s="1" customFormat="1" ht="21" customHeight="1">
      <c r="A204" s="33" t="s">
        <v>203</v>
      </c>
      <c r="B204" s="6" t="s">
        <v>204</v>
      </c>
      <c r="C204" s="33" t="s">
        <v>205</v>
      </c>
      <c r="D204" s="22">
        <f>D198/D199</f>
        <v>130.05004108657343</v>
      </c>
      <c r="E204" s="22">
        <f>E198/E199</f>
        <v>130.04999999103916</v>
      </c>
      <c r="F204" s="22">
        <f t="shared" si="40"/>
        <v>-4.1095534271562428E-5</v>
      </c>
      <c r="G204" s="8">
        <f t="shared" si="41"/>
        <v>-3.1599785688806828E-5</v>
      </c>
      <c r="H204" s="64"/>
      <c r="I204" s="65"/>
      <c r="J204" s="32"/>
    </row>
    <row r="205" spans="1:10" ht="17.25" customHeight="1">
      <c r="A205" s="9"/>
      <c r="B205" s="10" t="s">
        <v>206</v>
      </c>
      <c r="C205" s="9"/>
      <c r="D205" s="22"/>
      <c r="E205" s="22"/>
      <c r="F205" s="22"/>
      <c r="G205" s="12"/>
      <c r="H205" s="64"/>
      <c r="I205" s="65"/>
    </row>
    <row r="206" spans="1:10" ht="35.25" customHeight="1">
      <c r="A206" s="9">
        <v>7</v>
      </c>
      <c r="B206" s="10" t="s">
        <v>207</v>
      </c>
      <c r="C206" s="9" t="s">
        <v>208</v>
      </c>
      <c r="D206" s="15">
        <f>D207+D208</f>
        <v>208</v>
      </c>
      <c r="E206" s="15">
        <f>E207+E208</f>
        <v>170</v>
      </c>
      <c r="F206" s="15">
        <f>E206-D206</f>
        <v>-38</v>
      </c>
      <c r="G206" s="12">
        <f t="shared" si="41"/>
        <v>-18.269230769230766</v>
      </c>
      <c r="H206" s="64"/>
      <c r="I206" s="65"/>
    </row>
    <row r="207" spans="1:10" ht="17.25" customHeight="1">
      <c r="A207" s="19" t="s">
        <v>209</v>
      </c>
      <c r="B207" s="10" t="s">
        <v>210</v>
      </c>
      <c r="C207" s="9" t="s">
        <v>208</v>
      </c>
      <c r="D207" s="15">
        <v>196</v>
      </c>
      <c r="E207" s="15">
        <v>162</v>
      </c>
      <c r="F207" s="15">
        <f t="shared" ref="F207:F211" si="42">E207-D207</f>
        <v>-34</v>
      </c>
      <c r="G207" s="12">
        <f t="shared" si="41"/>
        <v>-17.346938775510203</v>
      </c>
      <c r="H207" s="64"/>
      <c r="I207" s="65"/>
    </row>
    <row r="208" spans="1:10" ht="17.25" customHeight="1">
      <c r="A208" s="19" t="s">
        <v>211</v>
      </c>
      <c r="B208" s="10" t="s">
        <v>212</v>
      </c>
      <c r="C208" s="9" t="s">
        <v>208</v>
      </c>
      <c r="D208" s="15">
        <v>12</v>
      </c>
      <c r="E208" s="15">
        <v>8</v>
      </c>
      <c r="F208" s="15">
        <f t="shared" si="42"/>
        <v>-4</v>
      </c>
      <c r="G208" s="12">
        <f t="shared" si="41"/>
        <v>-33.333333333333329</v>
      </c>
      <c r="H208" s="64"/>
      <c r="I208" s="65"/>
    </row>
    <row r="209" spans="1:9" ht="36" customHeight="1">
      <c r="A209" s="19" t="s">
        <v>213</v>
      </c>
      <c r="B209" s="10" t="s">
        <v>214</v>
      </c>
      <c r="C209" s="9" t="s">
        <v>16</v>
      </c>
      <c r="D209" s="15">
        <f>(D88+D140)/12/D206*1000</f>
        <v>78556.732371794875</v>
      </c>
      <c r="E209" s="15">
        <f>(E88+E140)/12/E206*1000</f>
        <v>95009.960784313735</v>
      </c>
      <c r="F209" s="15">
        <f t="shared" si="42"/>
        <v>16453.22841251886</v>
      </c>
      <c r="G209" s="12">
        <f t="shared" si="41"/>
        <v>20.944390016948123</v>
      </c>
      <c r="H209" s="64"/>
      <c r="I209" s="65"/>
    </row>
    <row r="210" spans="1:9" ht="17.25" customHeight="1">
      <c r="A210" s="19" t="s">
        <v>215</v>
      </c>
      <c r="B210" s="10" t="s">
        <v>210</v>
      </c>
      <c r="C210" s="9" t="s">
        <v>16</v>
      </c>
      <c r="D210" s="15">
        <f>D88/D207/12*1000</f>
        <v>76992</v>
      </c>
      <c r="E210" s="15">
        <f>E88/E207/12*1000</f>
        <v>91940.20216049382</v>
      </c>
      <c r="F210" s="15">
        <f t="shared" si="42"/>
        <v>14948.20216049382</v>
      </c>
      <c r="G210" s="12">
        <f t="shared" si="41"/>
        <v>19.415266729652199</v>
      </c>
      <c r="H210" s="64"/>
      <c r="I210" s="65"/>
    </row>
    <row r="211" spans="1:9" ht="17.25" customHeight="1">
      <c r="A211" s="19" t="s">
        <v>216</v>
      </c>
      <c r="B211" s="10" t="s">
        <v>212</v>
      </c>
      <c r="C211" s="9" t="s">
        <v>16</v>
      </c>
      <c r="D211" s="15">
        <f>D140/D208/12*1000</f>
        <v>104114.02777777778</v>
      </c>
      <c r="E211" s="15">
        <f>E140/E208/12*1000</f>
        <v>157172.57291666666</v>
      </c>
      <c r="F211" s="15">
        <f t="shared" si="42"/>
        <v>53058.545138888876</v>
      </c>
      <c r="G211" s="12">
        <f t="shared" si="41"/>
        <v>50.961956108486802</v>
      </c>
      <c r="H211" s="64"/>
      <c r="I211" s="65"/>
    </row>
    <row r="212" spans="1:9" ht="18.75">
      <c r="A212" s="31"/>
      <c r="B212" s="31"/>
      <c r="C212" s="31"/>
      <c r="D212" s="31"/>
      <c r="E212" s="31"/>
      <c r="F212" s="31"/>
      <c r="G212" s="31"/>
      <c r="H212" s="31"/>
      <c r="I212" s="31"/>
    </row>
    <row r="213" spans="1:9" ht="72.75" customHeight="1">
      <c r="A213" s="31"/>
      <c r="B213" s="31" t="s">
        <v>297</v>
      </c>
      <c r="C213" s="31"/>
      <c r="D213" s="31"/>
      <c r="E213" s="31" t="s">
        <v>298</v>
      </c>
      <c r="F213" s="31"/>
      <c r="G213" s="31"/>
      <c r="H213" s="31"/>
      <c r="I213" s="31"/>
    </row>
    <row r="214" spans="1:9" ht="9" customHeight="1">
      <c r="A214" s="31"/>
      <c r="B214" s="31"/>
      <c r="C214" s="31"/>
      <c r="D214" s="31"/>
      <c r="E214" s="31"/>
      <c r="F214" s="31"/>
      <c r="G214" s="31"/>
      <c r="H214" s="31"/>
      <c r="I214" s="31"/>
    </row>
    <row r="215" spans="1:9" ht="52.5" hidden="1" customHeight="1">
      <c r="A215" s="31"/>
      <c r="B215" s="31"/>
      <c r="C215" s="31"/>
      <c r="D215" s="31"/>
      <c r="E215" s="31"/>
      <c r="F215" s="31"/>
      <c r="G215" s="31"/>
      <c r="H215" s="31"/>
      <c r="I215" s="31"/>
    </row>
    <row r="216" spans="1:9" ht="15.75" hidden="1" customHeight="1">
      <c r="A216" s="31"/>
      <c r="B216" s="31"/>
      <c r="C216" s="31"/>
      <c r="D216" s="31"/>
      <c r="E216" s="31"/>
      <c r="F216" s="31"/>
      <c r="G216" s="31"/>
      <c r="H216" s="31"/>
      <c r="I216" s="31"/>
    </row>
    <row r="217" spans="1:9" ht="27" hidden="1" customHeight="1">
      <c r="A217" s="31"/>
      <c r="B217" s="31"/>
      <c r="C217" s="31"/>
      <c r="D217" s="31"/>
      <c r="E217" s="31"/>
      <c r="F217" s="31"/>
      <c r="G217" s="31"/>
      <c r="H217" s="31"/>
      <c r="I217" s="31"/>
    </row>
    <row r="218" spans="1:9" ht="30" customHeight="1">
      <c r="A218" s="31"/>
      <c r="B218" s="31" t="s">
        <v>233</v>
      </c>
      <c r="C218" s="31"/>
      <c r="D218" s="31"/>
      <c r="E218" s="31" t="s">
        <v>234</v>
      </c>
      <c r="F218" s="31"/>
      <c r="G218" s="31"/>
      <c r="H218" s="31"/>
      <c r="I218" s="31"/>
    </row>
    <row r="219" spans="1:9" ht="28.5" customHeight="1">
      <c r="A219" s="31"/>
      <c r="B219" s="31"/>
      <c r="C219" s="31"/>
      <c r="D219" s="31"/>
      <c r="E219" s="31"/>
      <c r="F219" s="31"/>
      <c r="G219" s="31"/>
      <c r="H219" s="31"/>
      <c r="I219" s="31"/>
    </row>
    <row r="220" spans="1:9" ht="4.5" hidden="1" customHeight="1">
      <c r="B220" s="3" t="s">
        <v>233</v>
      </c>
      <c r="C220" s="3"/>
      <c r="D220" t="s">
        <v>234</v>
      </c>
    </row>
    <row r="221" spans="1:9" ht="16.5" customHeight="1">
      <c r="B221" s="4"/>
      <c r="C221" s="2"/>
    </row>
    <row r="222" spans="1:9" ht="15.75">
      <c r="A222" s="2"/>
      <c r="B222" s="2"/>
      <c r="C222" s="2"/>
    </row>
    <row r="223" spans="1:9" ht="15.75">
      <c r="A223" s="2"/>
      <c r="B223" s="2"/>
      <c r="C223" s="2"/>
    </row>
    <row r="224" spans="1:9" ht="15.75">
      <c r="A224" s="2"/>
      <c r="B224" s="2"/>
      <c r="C224" s="2"/>
    </row>
    <row r="225" spans="1:3" ht="15.75">
      <c r="A225" s="4" t="s">
        <v>235</v>
      </c>
      <c r="B225" s="2"/>
      <c r="C225" s="2"/>
    </row>
    <row r="226" spans="1:3" ht="15.75">
      <c r="A226" s="2"/>
      <c r="B226" s="2"/>
      <c r="C226" s="2"/>
    </row>
  </sheetData>
  <mergeCells count="216">
    <mergeCell ref="H211:I211"/>
    <mergeCell ref="H205:I205"/>
    <mergeCell ref="H206:I206"/>
    <mergeCell ref="H207:I207"/>
    <mergeCell ref="H208:I208"/>
    <mergeCell ref="H209:I209"/>
    <mergeCell ref="H210:I210"/>
    <mergeCell ref="H201:I201"/>
    <mergeCell ref="A202:A203"/>
    <mergeCell ref="B202:B203"/>
    <mergeCell ref="H202:I202"/>
    <mergeCell ref="H203:I203"/>
    <mergeCell ref="H204:I204"/>
    <mergeCell ref="H195:I195"/>
    <mergeCell ref="H196:I196"/>
    <mergeCell ref="H197:I197"/>
    <mergeCell ref="H198:I198"/>
    <mergeCell ref="A199:A200"/>
    <mergeCell ref="B199:B200"/>
    <mergeCell ref="H199:I199"/>
    <mergeCell ref="H200:I200"/>
    <mergeCell ref="H189:I189"/>
    <mergeCell ref="H190:I190"/>
    <mergeCell ref="H191:I191"/>
    <mergeCell ref="H192:I192"/>
    <mergeCell ref="H193:I193"/>
    <mergeCell ref="H194:I194"/>
    <mergeCell ref="H183:I183"/>
    <mergeCell ref="H184:I184"/>
    <mergeCell ref="H185:I185"/>
    <mergeCell ref="H186:I186"/>
    <mergeCell ref="H187:I187"/>
    <mergeCell ref="H188:I188"/>
    <mergeCell ref="H177:I177"/>
    <mergeCell ref="H178:I178"/>
    <mergeCell ref="H179:I179"/>
    <mergeCell ref="H180:I180"/>
    <mergeCell ref="H181:I181"/>
    <mergeCell ref="H182:I182"/>
    <mergeCell ref="H171:I171"/>
    <mergeCell ref="H172:I172"/>
    <mergeCell ref="H173:I173"/>
    <mergeCell ref="H174:I174"/>
    <mergeCell ref="H175:I175"/>
    <mergeCell ref="H176:I176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  <mergeCell ref="H153:I153"/>
    <mergeCell ref="H154:I154"/>
    <mergeCell ref="H155:I155"/>
    <mergeCell ref="H156:I156"/>
    <mergeCell ref="H157:I157"/>
    <mergeCell ref="H158:I158"/>
    <mergeCell ref="H147:I147"/>
    <mergeCell ref="H148:I148"/>
    <mergeCell ref="H149:I149"/>
    <mergeCell ref="H150:I150"/>
    <mergeCell ref="H151:I151"/>
    <mergeCell ref="H152:I152"/>
    <mergeCell ref="H141:I141"/>
    <mergeCell ref="H142:I142"/>
    <mergeCell ref="H143:I143"/>
    <mergeCell ref="H144:I144"/>
    <mergeCell ref="H145:I145"/>
    <mergeCell ref="H146:I146"/>
    <mergeCell ref="H135:I135"/>
    <mergeCell ref="H136:I136"/>
    <mergeCell ref="H137:I137"/>
    <mergeCell ref="H138:I138"/>
    <mergeCell ref="H139:I139"/>
    <mergeCell ref="H140:I140"/>
    <mergeCell ref="H129:I129"/>
    <mergeCell ref="H130:I130"/>
    <mergeCell ref="H131:I131"/>
    <mergeCell ref="H132:I132"/>
    <mergeCell ref="H133:I133"/>
    <mergeCell ref="H134:I134"/>
    <mergeCell ref="H123:I123"/>
    <mergeCell ref="H124:I124"/>
    <mergeCell ref="H125:I125"/>
    <mergeCell ref="H126:I126"/>
    <mergeCell ref="H127:I127"/>
    <mergeCell ref="H128:I128"/>
    <mergeCell ref="H117:I117"/>
    <mergeCell ref="H118:I118"/>
    <mergeCell ref="H119:I119"/>
    <mergeCell ref="H120:I120"/>
    <mergeCell ref="H121:I121"/>
    <mergeCell ref="H122:I122"/>
    <mergeCell ref="H111:I111"/>
    <mergeCell ref="H112:I112"/>
    <mergeCell ref="H113:I113"/>
    <mergeCell ref="H114:I114"/>
    <mergeCell ref="H115:I115"/>
    <mergeCell ref="H116:I116"/>
    <mergeCell ref="H105:I105"/>
    <mergeCell ref="H106:I106"/>
    <mergeCell ref="H107:I107"/>
    <mergeCell ref="H108:I108"/>
    <mergeCell ref="H109:I109"/>
    <mergeCell ref="H110:I110"/>
    <mergeCell ref="H99:I99"/>
    <mergeCell ref="H100:I100"/>
    <mergeCell ref="H101:I101"/>
    <mergeCell ref="H102:I102"/>
    <mergeCell ref="H103:I103"/>
    <mergeCell ref="H104:I104"/>
    <mergeCell ref="H93:I93"/>
    <mergeCell ref="H94:I94"/>
    <mergeCell ref="H95:I95"/>
    <mergeCell ref="H96:I96"/>
    <mergeCell ref="H97:I97"/>
    <mergeCell ref="H98:I98"/>
    <mergeCell ref="H87:I87"/>
    <mergeCell ref="H88:I88"/>
    <mergeCell ref="H89:I89"/>
    <mergeCell ref="H90:I90"/>
    <mergeCell ref="H91:I91"/>
    <mergeCell ref="H92:I92"/>
    <mergeCell ref="H81:I81"/>
    <mergeCell ref="H82:I82"/>
    <mergeCell ref="H83:I83"/>
    <mergeCell ref="H86:I86"/>
    <mergeCell ref="H84:I85"/>
    <mergeCell ref="H75:I75"/>
    <mergeCell ref="H76:I76"/>
    <mergeCell ref="H77:I77"/>
    <mergeCell ref="H78:I78"/>
    <mergeCell ref="H79:I79"/>
    <mergeCell ref="H80:I80"/>
    <mergeCell ref="H68:I68"/>
    <mergeCell ref="H69:I70"/>
    <mergeCell ref="H71:I71"/>
    <mergeCell ref="H72:I72"/>
    <mergeCell ref="H73:I73"/>
    <mergeCell ref="H74:I74"/>
    <mergeCell ref="H62:I62"/>
    <mergeCell ref="H63:I63"/>
    <mergeCell ref="H64:I64"/>
    <mergeCell ref="H65:I65"/>
    <mergeCell ref="H66:I66"/>
    <mergeCell ref="H67:I67"/>
    <mergeCell ref="H54:I54"/>
    <mergeCell ref="H55:I55"/>
    <mergeCell ref="H56:I56"/>
    <mergeCell ref="H57:I58"/>
    <mergeCell ref="H59:I59"/>
    <mergeCell ref="H60:I61"/>
    <mergeCell ref="H48:I48"/>
    <mergeCell ref="H49:I49"/>
    <mergeCell ref="H50:I50"/>
    <mergeCell ref="H51:I51"/>
    <mergeCell ref="H52:I52"/>
    <mergeCell ref="H53:I53"/>
    <mergeCell ref="H41:I41"/>
    <mergeCell ref="H42:I43"/>
    <mergeCell ref="H44:I44"/>
    <mergeCell ref="H45:I45"/>
    <mergeCell ref="H46:I46"/>
    <mergeCell ref="H47:I47"/>
    <mergeCell ref="H35:I35"/>
    <mergeCell ref="H36:I36"/>
    <mergeCell ref="H37:I37"/>
    <mergeCell ref="H38:I38"/>
    <mergeCell ref="H39:I39"/>
    <mergeCell ref="H40:I40"/>
    <mergeCell ref="H29:I29"/>
    <mergeCell ref="H30:I30"/>
    <mergeCell ref="H31:I31"/>
    <mergeCell ref="H32:I32"/>
    <mergeCell ref="H33:I33"/>
    <mergeCell ref="H34:I34"/>
    <mergeCell ref="H23:I23"/>
    <mergeCell ref="H24:I24"/>
    <mergeCell ref="H25:I25"/>
    <mergeCell ref="H26:I26"/>
    <mergeCell ref="H27:I27"/>
    <mergeCell ref="H28:I28"/>
    <mergeCell ref="H17:I17"/>
    <mergeCell ref="H18:I18"/>
    <mergeCell ref="H19:I19"/>
    <mergeCell ref="H20:I20"/>
    <mergeCell ref="H21:I21"/>
    <mergeCell ref="H22:I22"/>
    <mergeCell ref="H11:I11"/>
    <mergeCell ref="H12:I12"/>
    <mergeCell ref="H13:I13"/>
    <mergeCell ref="H14:I14"/>
    <mergeCell ref="H15:I15"/>
    <mergeCell ref="H16:I16"/>
    <mergeCell ref="F5:F6"/>
    <mergeCell ref="G5:G6"/>
    <mergeCell ref="H7:I7"/>
    <mergeCell ref="H8:I8"/>
    <mergeCell ref="H9:I9"/>
    <mergeCell ref="H10:I10"/>
    <mergeCell ref="A1:I1"/>
    <mergeCell ref="A2:I2"/>
    <mergeCell ref="A3:C3"/>
    <mergeCell ref="A4:A6"/>
    <mergeCell ref="B4:B6"/>
    <mergeCell ref="C4:C6"/>
    <mergeCell ref="D4:G4"/>
    <mergeCell ref="H4:I6"/>
    <mergeCell ref="D5:D6"/>
    <mergeCell ref="E5:E6"/>
  </mergeCells>
  <pageMargins left="0.51181102362204722" right="0" top="0.94488188976377963" bottom="0.39370078740157483" header="0.31496062992125984" footer="0.31496062992125984"/>
  <pageSetup paperSize="9" scale="6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225"/>
  <sheetViews>
    <sheetView tabSelected="1" topLeftCell="A205" workbookViewId="0">
      <selection activeCell="L206" sqref="L206:L209"/>
    </sheetView>
  </sheetViews>
  <sheetFormatPr defaultRowHeight="15"/>
  <cols>
    <col min="1" max="1" width="9.28515625" customWidth="1"/>
    <col min="2" max="2" width="39.140625" customWidth="1"/>
    <col min="3" max="3" width="13.140625" customWidth="1"/>
    <col min="4" max="4" width="17" customWidth="1"/>
    <col min="5" max="5" width="16.140625" customWidth="1"/>
    <col min="6" max="6" width="12.7109375" customWidth="1"/>
    <col min="7" max="7" width="9" customWidth="1"/>
    <col min="8" max="8" width="14.85546875" customWidth="1"/>
    <col min="9" max="9" width="15.5703125" customWidth="1"/>
    <col min="10" max="10" width="15.140625" customWidth="1"/>
    <col min="12" max="12" width="11.5703125" bestFit="1" customWidth="1"/>
    <col min="13" max="13" width="19.28515625" customWidth="1"/>
    <col min="14" max="14" width="17.5703125" customWidth="1"/>
  </cols>
  <sheetData>
    <row r="1" spans="1:14" ht="54" customHeight="1">
      <c r="A1" s="44" t="s">
        <v>226</v>
      </c>
      <c r="B1" s="44"/>
      <c r="C1" s="44"/>
      <c r="D1" s="44"/>
      <c r="E1" s="44"/>
      <c r="F1" s="44"/>
      <c r="G1" s="44"/>
      <c r="H1" s="44"/>
      <c r="I1" s="44"/>
    </row>
    <row r="2" spans="1:14" ht="37.5" customHeight="1">
      <c r="A2" s="45" t="s">
        <v>268</v>
      </c>
      <c r="B2" s="45"/>
      <c r="C2" s="45"/>
      <c r="D2" s="45"/>
      <c r="E2" s="45"/>
      <c r="F2" s="45"/>
      <c r="G2" s="45"/>
      <c r="H2" s="45"/>
      <c r="I2" s="45"/>
    </row>
    <row r="3" spans="1:14" ht="1.5" customHeight="1">
      <c r="A3" s="46"/>
      <c r="B3" s="46"/>
      <c r="C3" s="46"/>
      <c r="D3" s="31"/>
      <c r="E3" s="31"/>
      <c r="F3" s="31"/>
      <c r="G3" s="31"/>
      <c r="H3" s="31"/>
      <c r="I3" s="31"/>
    </row>
    <row r="4" spans="1:14" ht="18.75">
      <c r="A4" s="47" t="s">
        <v>0</v>
      </c>
      <c r="B4" s="50" t="s">
        <v>1</v>
      </c>
      <c r="C4" s="47" t="s">
        <v>217</v>
      </c>
      <c r="D4" s="53" t="s">
        <v>227</v>
      </c>
      <c r="E4" s="54"/>
      <c r="F4" s="54"/>
      <c r="G4" s="55"/>
      <c r="H4" s="56" t="s">
        <v>239</v>
      </c>
      <c r="I4" s="57"/>
    </row>
    <row r="5" spans="1:14" ht="15" customHeight="1">
      <c r="A5" s="48"/>
      <c r="B5" s="51"/>
      <c r="C5" s="48"/>
      <c r="D5" s="62" t="s">
        <v>240</v>
      </c>
      <c r="E5" s="62" t="s">
        <v>229</v>
      </c>
      <c r="F5" s="62" t="s">
        <v>219</v>
      </c>
      <c r="G5" s="62" t="s">
        <v>236</v>
      </c>
      <c r="H5" s="58"/>
      <c r="I5" s="59"/>
    </row>
    <row r="6" spans="1:14" ht="41.25" customHeight="1">
      <c r="A6" s="49"/>
      <c r="B6" s="52"/>
      <c r="C6" s="49"/>
      <c r="D6" s="63"/>
      <c r="E6" s="63"/>
      <c r="F6" s="63"/>
      <c r="G6" s="63"/>
      <c r="H6" s="60"/>
      <c r="I6" s="61"/>
    </row>
    <row r="7" spans="1:14" ht="15.7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68">
        <v>8</v>
      </c>
      <c r="I7" s="69"/>
    </row>
    <row r="8" spans="1:14" ht="39" customHeight="1">
      <c r="A8" s="36" t="s">
        <v>2</v>
      </c>
      <c r="B8" s="6" t="s">
        <v>3</v>
      </c>
      <c r="C8" s="38" t="s">
        <v>4</v>
      </c>
      <c r="D8" s="39">
        <f>D9+D87+D90+D92+D94</f>
        <v>709152.82200000004</v>
      </c>
      <c r="E8" s="39">
        <f>E9+E87+E90+E92+E94</f>
        <v>705528.26199999999</v>
      </c>
      <c r="F8" s="40">
        <f>E8-D8</f>
        <v>-3624.5600000000559</v>
      </c>
      <c r="G8" s="41">
        <f>F8/D8*100</f>
        <v>-0.51111127073820706</v>
      </c>
      <c r="H8" s="83"/>
      <c r="I8" s="84"/>
      <c r="N8" s="35"/>
    </row>
    <row r="9" spans="1:14" ht="17.25" customHeight="1">
      <c r="A9" s="36" t="s">
        <v>5</v>
      </c>
      <c r="B9" s="6" t="s">
        <v>6</v>
      </c>
      <c r="C9" s="36" t="s">
        <v>4</v>
      </c>
      <c r="D9" s="7">
        <f>D10+D37+D72</f>
        <v>363815.19099999999</v>
      </c>
      <c r="E9" s="7">
        <f>E10+E37+E72</f>
        <v>360084.93699999998</v>
      </c>
      <c r="F9" s="22">
        <f t="shared" ref="F9:F36" si="0">E9-D9</f>
        <v>-3730.2540000000154</v>
      </c>
      <c r="G9" s="8">
        <f t="shared" ref="G9:G72" si="1">F9/D9*100</f>
        <v>-1.0253156251521161</v>
      </c>
      <c r="H9" s="64"/>
      <c r="I9" s="65"/>
    </row>
    <row r="10" spans="1:14" ht="17.25" customHeight="1">
      <c r="A10" s="9" t="s">
        <v>7</v>
      </c>
      <c r="B10" s="10" t="s">
        <v>8</v>
      </c>
      <c r="C10" s="9" t="s">
        <v>4</v>
      </c>
      <c r="D10" s="11">
        <f>D11+D30+D35</f>
        <v>72373.531000000003</v>
      </c>
      <c r="E10" s="11">
        <f>E11+E30+E35</f>
        <v>72583.03899999999</v>
      </c>
      <c r="F10" s="17">
        <f t="shared" si="0"/>
        <v>209.50799999998708</v>
      </c>
      <c r="G10" s="12">
        <f>F10/D10*100</f>
        <v>0.28948152329335303</v>
      </c>
      <c r="H10" s="64"/>
      <c r="I10" s="65"/>
    </row>
    <row r="11" spans="1:14" ht="29.25" customHeight="1">
      <c r="A11" s="9" t="s">
        <v>9</v>
      </c>
      <c r="B11" s="10" t="s">
        <v>10</v>
      </c>
      <c r="C11" s="9" t="s">
        <v>4</v>
      </c>
      <c r="D11" s="11">
        <f>D12+D15+D18+D21+D24+D27</f>
        <v>57554.94</v>
      </c>
      <c r="E11" s="11">
        <f>E12+E15+E18+E21+E24+E27</f>
        <v>57061.228999999999</v>
      </c>
      <c r="F11" s="17">
        <f t="shared" si="0"/>
        <v>-493.71100000000297</v>
      </c>
      <c r="G11" s="12">
        <f t="shared" si="1"/>
        <v>-0.85780820899127497</v>
      </c>
      <c r="H11" s="66" t="s">
        <v>299</v>
      </c>
      <c r="I11" s="67"/>
    </row>
    <row r="12" spans="1:14" ht="40.5" hidden="1" customHeight="1">
      <c r="A12" s="9" t="s">
        <v>11</v>
      </c>
      <c r="B12" s="10" t="s">
        <v>12</v>
      </c>
      <c r="C12" s="9" t="s">
        <v>4</v>
      </c>
      <c r="D12" s="11">
        <v>13255.83</v>
      </c>
      <c r="E12" s="11">
        <v>12788.328</v>
      </c>
      <c r="F12" s="17">
        <f t="shared" si="0"/>
        <v>-467.50200000000041</v>
      </c>
      <c r="G12" s="12">
        <f t="shared" si="1"/>
        <v>-3.5267652044421243</v>
      </c>
      <c r="H12" s="64"/>
      <c r="I12" s="65"/>
    </row>
    <row r="13" spans="1:14" ht="40.5" hidden="1" customHeight="1">
      <c r="A13" s="9"/>
      <c r="B13" s="13" t="s">
        <v>13</v>
      </c>
      <c r="C13" s="14" t="s">
        <v>14</v>
      </c>
      <c r="D13" s="15">
        <v>48189</v>
      </c>
      <c r="E13" s="15">
        <v>46289</v>
      </c>
      <c r="F13" s="17">
        <f t="shared" si="0"/>
        <v>-1900</v>
      </c>
      <c r="G13" s="12">
        <f t="shared" si="1"/>
        <v>-3.942808524767063</v>
      </c>
      <c r="H13" s="64"/>
      <c r="I13" s="65"/>
    </row>
    <row r="14" spans="1:14" ht="40.5" hidden="1" customHeight="1">
      <c r="A14" s="16"/>
      <c r="B14" s="13" t="s">
        <v>15</v>
      </c>
      <c r="C14" s="14" t="s">
        <v>16</v>
      </c>
      <c r="D14" s="17">
        <f>D12/D13*1000</f>
        <v>275.07999750980514</v>
      </c>
      <c r="E14" s="17">
        <f>E12/E13*1000</f>
        <v>276.27142517660781</v>
      </c>
      <c r="F14" s="17">
        <f t="shared" si="0"/>
        <v>1.1914276668026673</v>
      </c>
      <c r="G14" s="12">
        <f t="shared" si="1"/>
        <v>0.4331204295434819</v>
      </c>
      <c r="H14" s="64"/>
      <c r="I14" s="65"/>
    </row>
    <row r="15" spans="1:14" ht="40.5" hidden="1" customHeight="1">
      <c r="A15" s="9" t="s">
        <v>17</v>
      </c>
      <c r="B15" s="10" t="s">
        <v>18</v>
      </c>
      <c r="C15" s="9" t="s">
        <v>4</v>
      </c>
      <c r="D15" s="11">
        <v>32087.861000000001</v>
      </c>
      <c r="E15" s="11">
        <v>32087.84</v>
      </c>
      <c r="F15" s="17">
        <f t="shared" si="0"/>
        <v>-2.1000000000640284E-2</v>
      </c>
      <c r="G15" s="12">
        <f t="shared" si="1"/>
        <v>-6.5445309678449057E-5</v>
      </c>
      <c r="H15" s="64"/>
      <c r="I15" s="65"/>
    </row>
    <row r="16" spans="1:14" ht="40.5" hidden="1" customHeight="1">
      <c r="A16" s="9"/>
      <c r="B16" s="13" t="s">
        <v>13</v>
      </c>
      <c r="C16" s="14" t="s">
        <v>14</v>
      </c>
      <c r="D16" s="15">
        <v>208000</v>
      </c>
      <c r="E16" s="15">
        <v>208000</v>
      </c>
      <c r="F16" s="17">
        <f t="shared" si="0"/>
        <v>0</v>
      </c>
      <c r="G16" s="12">
        <f t="shared" si="1"/>
        <v>0</v>
      </c>
      <c r="H16" s="64"/>
      <c r="I16" s="65"/>
    </row>
    <row r="17" spans="1:9" ht="40.5" hidden="1" customHeight="1">
      <c r="A17" s="9"/>
      <c r="B17" s="13" t="s">
        <v>15</v>
      </c>
      <c r="C17" s="14" t="s">
        <v>16</v>
      </c>
      <c r="D17" s="17">
        <f>D15/D16*1000</f>
        <v>154.2685625</v>
      </c>
      <c r="E17" s="17">
        <f>E15/E16*1000</f>
        <v>154.26846153846154</v>
      </c>
      <c r="F17" s="17">
        <f t="shared" si="0"/>
        <v>-1.0096153846461675E-4</v>
      </c>
      <c r="G17" s="12">
        <f t="shared" si="1"/>
        <v>-6.544530967844907E-5</v>
      </c>
      <c r="H17" s="64"/>
      <c r="I17" s="65"/>
    </row>
    <row r="18" spans="1:9" ht="40.5" hidden="1" customHeight="1">
      <c r="A18" s="9" t="s">
        <v>19</v>
      </c>
      <c r="B18" s="10" t="s">
        <v>20</v>
      </c>
      <c r="C18" s="9" t="s">
        <v>4</v>
      </c>
      <c r="D18" s="11">
        <v>864</v>
      </c>
      <c r="E18" s="11">
        <v>822.96</v>
      </c>
      <c r="F18" s="17">
        <f t="shared" si="0"/>
        <v>-41.039999999999964</v>
      </c>
      <c r="G18" s="12">
        <f t="shared" si="1"/>
        <v>-4.7499999999999956</v>
      </c>
      <c r="H18" s="64"/>
      <c r="I18" s="65"/>
    </row>
    <row r="19" spans="1:9" ht="40.5" hidden="1" customHeight="1">
      <c r="A19" s="9"/>
      <c r="B19" s="13" t="s">
        <v>13</v>
      </c>
      <c r="C19" s="14" t="s">
        <v>14</v>
      </c>
      <c r="D19" s="15">
        <v>2000</v>
      </c>
      <c r="E19" s="15">
        <v>1905</v>
      </c>
      <c r="F19" s="17">
        <f t="shared" si="0"/>
        <v>-95</v>
      </c>
      <c r="G19" s="12">
        <f t="shared" si="1"/>
        <v>-4.75</v>
      </c>
      <c r="H19" s="64"/>
      <c r="I19" s="65"/>
    </row>
    <row r="20" spans="1:9" ht="40.5" hidden="1" customHeight="1">
      <c r="A20" s="9"/>
      <c r="B20" s="13" t="s">
        <v>15</v>
      </c>
      <c r="C20" s="14" t="s">
        <v>16</v>
      </c>
      <c r="D20" s="17">
        <f>D18/D19*1000</f>
        <v>432</v>
      </c>
      <c r="E20" s="17">
        <f>E18/E19*1000</f>
        <v>432</v>
      </c>
      <c r="F20" s="17">
        <f t="shared" si="0"/>
        <v>0</v>
      </c>
      <c r="G20" s="12">
        <f t="shared" si="1"/>
        <v>0</v>
      </c>
      <c r="H20" s="64"/>
      <c r="I20" s="65"/>
    </row>
    <row r="21" spans="1:9" ht="40.5" hidden="1" customHeight="1">
      <c r="A21" s="9" t="s">
        <v>21</v>
      </c>
      <c r="B21" s="10" t="s">
        <v>22</v>
      </c>
      <c r="C21" s="9" t="s">
        <v>4</v>
      </c>
      <c r="D21" s="11">
        <v>9011.2489999999998</v>
      </c>
      <c r="E21" s="11">
        <v>9026.1010000000006</v>
      </c>
      <c r="F21" s="17">
        <f t="shared" si="0"/>
        <v>14.852000000000771</v>
      </c>
      <c r="G21" s="12">
        <f t="shared" si="1"/>
        <v>0.16481622025981937</v>
      </c>
      <c r="H21" s="64"/>
      <c r="I21" s="65"/>
    </row>
    <row r="22" spans="1:9" ht="40.5" hidden="1" customHeight="1">
      <c r="A22" s="9"/>
      <c r="B22" s="13" t="s">
        <v>13</v>
      </c>
      <c r="C22" s="14" t="s">
        <v>14</v>
      </c>
      <c r="D22" s="15">
        <v>65000</v>
      </c>
      <c r="E22" s="15">
        <v>65094</v>
      </c>
      <c r="F22" s="17">
        <f t="shared" si="0"/>
        <v>94</v>
      </c>
      <c r="G22" s="12">
        <f t="shared" si="1"/>
        <v>0.14461538461538462</v>
      </c>
      <c r="H22" s="64"/>
      <c r="I22" s="65"/>
    </row>
    <row r="23" spans="1:9" ht="40.5" hidden="1" customHeight="1">
      <c r="A23" s="9"/>
      <c r="B23" s="13" t="s">
        <v>15</v>
      </c>
      <c r="C23" s="14" t="s">
        <v>16</v>
      </c>
      <c r="D23" s="17">
        <f>D21/D22*1000</f>
        <v>138.63460000000001</v>
      </c>
      <c r="E23" s="17">
        <f>E21/E22*1000</f>
        <v>138.66256490613574</v>
      </c>
      <c r="F23" s="17">
        <f t="shared" si="0"/>
        <v>2.7964906135736101E-2</v>
      </c>
      <c r="G23" s="12">
        <f t="shared" si="1"/>
        <v>2.0171664314490106E-2</v>
      </c>
      <c r="H23" s="64"/>
      <c r="I23" s="65"/>
    </row>
    <row r="24" spans="1:9" ht="40.5" hidden="1" customHeight="1">
      <c r="A24" s="9" t="s">
        <v>23</v>
      </c>
      <c r="B24" s="10" t="s">
        <v>24</v>
      </c>
      <c r="C24" s="9" t="s">
        <v>4</v>
      </c>
      <c r="D24" s="11">
        <v>0</v>
      </c>
      <c r="E24" s="11">
        <v>0</v>
      </c>
      <c r="F24" s="17">
        <f t="shared" si="0"/>
        <v>0</v>
      </c>
      <c r="G24" s="12" t="e">
        <f t="shared" si="1"/>
        <v>#DIV/0!</v>
      </c>
      <c r="H24" s="64"/>
      <c r="I24" s="65"/>
    </row>
    <row r="25" spans="1:9" ht="40.5" hidden="1" customHeight="1">
      <c r="A25" s="9"/>
      <c r="B25" s="13" t="s">
        <v>13</v>
      </c>
      <c r="C25" s="14" t="s">
        <v>14</v>
      </c>
      <c r="D25" s="15">
        <v>0</v>
      </c>
      <c r="E25" s="15">
        <v>0</v>
      </c>
      <c r="F25" s="17">
        <f t="shared" si="0"/>
        <v>0</v>
      </c>
      <c r="G25" s="12" t="e">
        <f t="shared" si="1"/>
        <v>#DIV/0!</v>
      </c>
      <c r="H25" s="64"/>
      <c r="I25" s="65"/>
    </row>
    <row r="26" spans="1:9" ht="40.5" hidden="1" customHeight="1">
      <c r="A26" s="9"/>
      <c r="B26" s="13" t="s">
        <v>15</v>
      </c>
      <c r="C26" s="14" t="s">
        <v>16</v>
      </c>
      <c r="D26" s="17"/>
      <c r="E26" s="17"/>
      <c r="F26" s="17"/>
      <c r="G26" s="12" t="e">
        <f t="shared" si="1"/>
        <v>#DIV/0!</v>
      </c>
      <c r="H26" s="64"/>
      <c r="I26" s="65"/>
    </row>
    <row r="27" spans="1:9" ht="40.5" hidden="1" customHeight="1">
      <c r="A27" s="9" t="s">
        <v>23</v>
      </c>
      <c r="B27" s="10" t="s">
        <v>25</v>
      </c>
      <c r="C27" s="9" t="s">
        <v>4</v>
      </c>
      <c r="D27" s="11">
        <v>2336</v>
      </c>
      <c r="E27" s="11">
        <v>2336</v>
      </c>
      <c r="F27" s="17">
        <f t="shared" si="0"/>
        <v>0</v>
      </c>
      <c r="G27" s="12">
        <f t="shared" si="1"/>
        <v>0</v>
      </c>
      <c r="H27" s="64"/>
      <c r="I27" s="65"/>
    </row>
    <row r="28" spans="1:9" ht="40.5" hidden="1" customHeight="1">
      <c r="A28" s="9"/>
      <c r="B28" s="13" t="s">
        <v>13</v>
      </c>
      <c r="C28" s="14" t="s">
        <v>14</v>
      </c>
      <c r="D28" s="15">
        <v>2920</v>
      </c>
      <c r="E28" s="15">
        <v>2920</v>
      </c>
      <c r="F28" s="17">
        <f t="shared" si="0"/>
        <v>0</v>
      </c>
      <c r="G28" s="12">
        <f t="shared" si="1"/>
        <v>0</v>
      </c>
      <c r="H28" s="64"/>
      <c r="I28" s="65"/>
    </row>
    <row r="29" spans="1:9" ht="40.5" hidden="1" customHeight="1">
      <c r="A29" s="9"/>
      <c r="B29" s="13" t="s">
        <v>15</v>
      </c>
      <c r="C29" s="14" t="s">
        <v>16</v>
      </c>
      <c r="D29" s="17">
        <f>D27/D28*1000</f>
        <v>800</v>
      </c>
      <c r="E29" s="17">
        <f>E27/E28*1000</f>
        <v>800</v>
      </c>
      <c r="F29" s="17">
        <f t="shared" si="0"/>
        <v>0</v>
      </c>
      <c r="G29" s="12">
        <f t="shared" si="1"/>
        <v>0</v>
      </c>
      <c r="H29" s="64"/>
      <c r="I29" s="65"/>
    </row>
    <row r="30" spans="1:9" ht="17.25" customHeight="1">
      <c r="A30" s="19" t="s">
        <v>26</v>
      </c>
      <c r="B30" s="10" t="s">
        <v>27</v>
      </c>
      <c r="C30" s="9" t="s">
        <v>4</v>
      </c>
      <c r="D30" s="11">
        <f t="shared" ref="D30:F30" si="2">D31+D32+D33+D34</f>
        <v>12803.45</v>
      </c>
      <c r="E30" s="11">
        <f t="shared" si="2"/>
        <v>13483.279999999999</v>
      </c>
      <c r="F30" s="17">
        <f t="shared" si="2"/>
        <v>679.82999999999936</v>
      </c>
      <c r="G30" s="12">
        <f t="shared" si="1"/>
        <v>5.3097407339427996</v>
      </c>
      <c r="H30" s="64"/>
      <c r="I30" s="65"/>
    </row>
    <row r="31" spans="1:9" ht="35.25" customHeight="1">
      <c r="A31" s="19" t="s">
        <v>28</v>
      </c>
      <c r="B31" s="10" t="s">
        <v>29</v>
      </c>
      <c r="C31" s="9" t="s">
        <v>4</v>
      </c>
      <c r="D31" s="11">
        <v>11697.1</v>
      </c>
      <c r="E31" s="11">
        <v>12285.704</v>
      </c>
      <c r="F31" s="17">
        <f t="shared" si="0"/>
        <v>588.60399999999936</v>
      </c>
      <c r="G31" s="12">
        <f t="shared" si="1"/>
        <v>5.0320506792281794</v>
      </c>
      <c r="H31" s="64"/>
      <c r="I31" s="65"/>
    </row>
    <row r="32" spans="1:9" ht="51.75" customHeight="1">
      <c r="A32" s="19" t="s">
        <v>30</v>
      </c>
      <c r="B32" s="10" t="s">
        <v>31</v>
      </c>
      <c r="C32" s="9" t="s">
        <v>4</v>
      </c>
      <c r="D32" s="11">
        <v>587.46199999999999</v>
      </c>
      <c r="E32" s="11">
        <v>686.47</v>
      </c>
      <c r="F32" s="17">
        <f t="shared" si="0"/>
        <v>99.008000000000038</v>
      </c>
      <c r="G32" s="12">
        <f t="shared" si="1"/>
        <v>16.853515631649373</v>
      </c>
      <c r="H32" s="66" t="s">
        <v>287</v>
      </c>
      <c r="I32" s="67"/>
    </row>
    <row r="33" spans="1:9" ht="17.25" customHeight="1">
      <c r="A33" s="19" t="s">
        <v>32</v>
      </c>
      <c r="B33" s="10" t="s">
        <v>33</v>
      </c>
      <c r="C33" s="9" t="s">
        <v>4</v>
      </c>
      <c r="D33" s="11">
        <v>304.09199999999998</v>
      </c>
      <c r="E33" s="11">
        <v>307.08499999999998</v>
      </c>
      <c r="F33" s="17">
        <f t="shared" si="0"/>
        <v>2.992999999999995</v>
      </c>
      <c r="G33" s="12">
        <f t="shared" si="1"/>
        <v>0.98424161109137864</v>
      </c>
      <c r="H33" s="64"/>
      <c r="I33" s="65"/>
    </row>
    <row r="34" spans="1:9" ht="33" customHeight="1">
      <c r="A34" s="19" t="s">
        <v>34</v>
      </c>
      <c r="B34" s="10" t="s">
        <v>35</v>
      </c>
      <c r="C34" s="9" t="s">
        <v>4</v>
      </c>
      <c r="D34" s="11">
        <v>214.79599999999999</v>
      </c>
      <c r="E34" s="11">
        <v>204.02099999999999</v>
      </c>
      <c r="F34" s="17">
        <f t="shared" si="0"/>
        <v>-10.775000000000006</v>
      </c>
      <c r="G34" s="12">
        <f t="shared" si="1"/>
        <v>-5.0163876422279774</v>
      </c>
      <c r="H34" s="64"/>
      <c r="I34" s="65"/>
    </row>
    <row r="35" spans="1:9" ht="17.25" customHeight="1">
      <c r="A35" s="19" t="s">
        <v>36</v>
      </c>
      <c r="B35" s="10" t="s">
        <v>37</v>
      </c>
      <c r="C35" s="9" t="s">
        <v>4</v>
      </c>
      <c r="D35" s="11">
        <f t="shared" ref="D35:F35" si="3">D36</f>
        <v>2015.1410000000001</v>
      </c>
      <c r="E35" s="11">
        <f t="shared" si="3"/>
        <v>2038.53</v>
      </c>
      <c r="F35" s="17">
        <f t="shared" si="3"/>
        <v>23.388999999999896</v>
      </c>
      <c r="G35" s="12">
        <f t="shared" si="1"/>
        <v>1.1606631992500722</v>
      </c>
      <c r="H35" s="64"/>
      <c r="I35" s="65"/>
    </row>
    <row r="36" spans="1:9" ht="17.25" customHeight="1">
      <c r="A36" s="9" t="s">
        <v>38</v>
      </c>
      <c r="B36" s="10" t="s">
        <v>39</v>
      </c>
      <c r="C36" s="9" t="s">
        <v>4</v>
      </c>
      <c r="D36" s="11">
        <v>2015.1410000000001</v>
      </c>
      <c r="E36" s="11">
        <v>2038.53</v>
      </c>
      <c r="F36" s="17">
        <f t="shared" si="0"/>
        <v>23.388999999999896</v>
      </c>
      <c r="G36" s="12">
        <f t="shared" si="1"/>
        <v>1.1606631992500722</v>
      </c>
      <c r="H36" s="64"/>
      <c r="I36" s="65"/>
    </row>
    <row r="37" spans="1:9" ht="17.25" customHeight="1">
      <c r="A37" s="19" t="s">
        <v>40</v>
      </c>
      <c r="B37" s="10" t="s">
        <v>41</v>
      </c>
      <c r="C37" s="9" t="s">
        <v>4</v>
      </c>
      <c r="D37" s="11">
        <f>D38+D41+D48+D51+0.278</f>
        <v>15598.1</v>
      </c>
      <c r="E37" s="11">
        <f t="shared" ref="E37" si="4">E38+E41+E48+E51</f>
        <v>15446.772000000001</v>
      </c>
      <c r="F37" s="17">
        <f>E37-D37</f>
        <v>-151.32799999999952</v>
      </c>
      <c r="G37" s="12">
        <f t="shared" si="1"/>
        <v>-0.97016944371429537</v>
      </c>
      <c r="H37" s="64"/>
      <c r="I37" s="65"/>
    </row>
    <row r="38" spans="1:9" ht="17.25" customHeight="1">
      <c r="A38" s="19" t="s">
        <v>42</v>
      </c>
      <c r="B38" s="10" t="s">
        <v>43</v>
      </c>
      <c r="C38" s="9" t="s">
        <v>4</v>
      </c>
      <c r="D38" s="11">
        <v>5719.87</v>
      </c>
      <c r="E38" s="11">
        <v>5719.8760000000002</v>
      </c>
      <c r="F38" s="17">
        <f>E38-D38</f>
        <v>6.0000000003128662E-3</v>
      </c>
      <c r="G38" s="12">
        <f t="shared" si="1"/>
        <v>1.04897488934414E-4</v>
      </c>
      <c r="H38" s="64"/>
      <c r="I38" s="65"/>
    </row>
    <row r="39" spans="1:9" ht="17.25" hidden="1" customHeight="1">
      <c r="A39" s="9"/>
      <c r="B39" s="13" t="s">
        <v>13</v>
      </c>
      <c r="C39" s="14" t="s">
        <v>44</v>
      </c>
      <c r="D39" s="15">
        <v>842</v>
      </c>
      <c r="E39" s="15">
        <v>842</v>
      </c>
      <c r="F39" s="17">
        <f t="shared" ref="F39:F71" si="5">E39-D39</f>
        <v>0</v>
      </c>
      <c r="G39" s="12">
        <f t="shared" si="1"/>
        <v>0</v>
      </c>
      <c r="H39" s="64"/>
      <c r="I39" s="65"/>
    </row>
    <row r="40" spans="1:9" ht="17.25" hidden="1" customHeight="1">
      <c r="A40" s="9"/>
      <c r="B40" s="13" t="s">
        <v>15</v>
      </c>
      <c r="C40" s="14" t="s">
        <v>16</v>
      </c>
      <c r="D40" s="17">
        <f>D38/D39*1000</f>
        <v>6793.1947743467936</v>
      </c>
      <c r="E40" s="17">
        <f>E38/E39*1000</f>
        <v>6793.20190023753</v>
      </c>
      <c r="F40" s="17">
        <f t="shared" si="5"/>
        <v>7.1258907364608604E-3</v>
      </c>
      <c r="G40" s="12">
        <f t="shared" si="1"/>
        <v>1.0489748893069325E-4</v>
      </c>
      <c r="H40" s="64"/>
      <c r="I40" s="65"/>
    </row>
    <row r="41" spans="1:9" ht="17.25" customHeight="1">
      <c r="A41" s="19" t="s">
        <v>45</v>
      </c>
      <c r="B41" s="10" t="s">
        <v>46</v>
      </c>
      <c r="C41" s="9" t="s">
        <v>4</v>
      </c>
      <c r="D41" s="11">
        <f t="shared" ref="D41:E41" si="6">D42+D45</f>
        <v>2918.864</v>
      </c>
      <c r="E41" s="11">
        <f t="shared" si="6"/>
        <v>2833.8739999999998</v>
      </c>
      <c r="F41" s="17">
        <f t="shared" si="5"/>
        <v>-84.990000000000236</v>
      </c>
      <c r="G41" s="12">
        <f t="shared" si="1"/>
        <v>-2.9117492284669733</v>
      </c>
      <c r="H41" s="64"/>
      <c r="I41" s="65"/>
    </row>
    <row r="42" spans="1:9" ht="16.5" hidden="1" customHeight="1">
      <c r="A42" s="9"/>
      <c r="B42" s="10" t="s">
        <v>47</v>
      </c>
      <c r="C42" s="9" t="s">
        <v>4</v>
      </c>
      <c r="D42" s="11">
        <v>1558.0740000000001</v>
      </c>
      <c r="E42" s="11">
        <v>1420.915</v>
      </c>
      <c r="F42" s="17">
        <f>E42-D42</f>
        <v>-137.15900000000011</v>
      </c>
      <c r="G42" s="12">
        <f t="shared" si="1"/>
        <v>-8.803112047309698</v>
      </c>
      <c r="H42" s="70" t="s">
        <v>288</v>
      </c>
      <c r="I42" s="71"/>
    </row>
    <row r="43" spans="1:9" ht="17.25" hidden="1" customHeight="1">
      <c r="A43" s="9"/>
      <c r="B43" s="13" t="s">
        <v>48</v>
      </c>
      <c r="C43" s="14" t="s">
        <v>49</v>
      </c>
      <c r="D43" s="15">
        <v>19947</v>
      </c>
      <c r="E43" s="15">
        <v>18222</v>
      </c>
      <c r="F43" s="17">
        <f t="shared" si="5"/>
        <v>-1725</v>
      </c>
      <c r="G43" s="12">
        <f t="shared" si="1"/>
        <v>-8.6479169799969924</v>
      </c>
      <c r="H43" s="72"/>
      <c r="I43" s="73"/>
    </row>
    <row r="44" spans="1:9" ht="17.25" hidden="1" customHeight="1">
      <c r="A44" s="9"/>
      <c r="B44" s="13" t="s">
        <v>15</v>
      </c>
      <c r="C44" s="14" t="s">
        <v>16</v>
      </c>
      <c r="D44" s="17">
        <f>D42/D43*1000</f>
        <v>78.11069333734396</v>
      </c>
      <c r="E44" s="17">
        <f>E42/E43*1000</f>
        <v>77.97799363406871</v>
      </c>
      <c r="F44" s="17">
        <f t="shared" si="5"/>
        <v>-0.13269970327525016</v>
      </c>
      <c r="G44" s="12">
        <f t="shared" si="1"/>
        <v>-0.16988673074779601</v>
      </c>
      <c r="H44" s="64"/>
      <c r="I44" s="65"/>
    </row>
    <row r="45" spans="1:9" ht="17.25" hidden="1" customHeight="1">
      <c r="A45" s="9"/>
      <c r="B45" s="20" t="s">
        <v>50</v>
      </c>
      <c r="C45" s="9" t="s">
        <v>4</v>
      </c>
      <c r="D45" s="11">
        <v>1360.79</v>
      </c>
      <c r="E45" s="11">
        <v>1412.9590000000001</v>
      </c>
      <c r="F45" s="17">
        <f>E45-D45</f>
        <v>52.169000000000096</v>
      </c>
      <c r="G45" s="12">
        <f t="shared" si="1"/>
        <v>3.833728936867562</v>
      </c>
      <c r="H45" s="64"/>
      <c r="I45" s="65"/>
    </row>
    <row r="46" spans="1:9" ht="17.25" hidden="1" customHeight="1">
      <c r="A46" s="9"/>
      <c r="B46" s="13" t="s">
        <v>51</v>
      </c>
      <c r="C46" s="14" t="s">
        <v>49</v>
      </c>
      <c r="D46" s="15">
        <v>12000</v>
      </c>
      <c r="E46" s="15">
        <v>12430</v>
      </c>
      <c r="F46" s="17">
        <f t="shared" si="5"/>
        <v>430</v>
      </c>
      <c r="G46" s="12">
        <f t="shared" si="1"/>
        <v>3.5833333333333335</v>
      </c>
      <c r="H46" s="64"/>
      <c r="I46" s="65"/>
    </row>
    <row r="47" spans="1:9" ht="17.25" hidden="1" customHeight="1">
      <c r="A47" s="9"/>
      <c r="B47" s="13" t="s">
        <v>15</v>
      </c>
      <c r="C47" s="14" t="s">
        <v>16</v>
      </c>
      <c r="D47" s="17">
        <f>D45/D46*1000</f>
        <v>113.39916666666666</v>
      </c>
      <c r="E47" s="17">
        <f>E45/E46*1000</f>
        <v>113.67329042638778</v>
      </c>
      <c r="F47" s="17">
        <f t="shared" si="5"/>
        <v>0.27412375972112102</v>
      </c>
      <c r="G47" s="12">
        <f t="shared" si="1"/>
        <v>0.24173348691961674</v>
      </c>
      <c r="H47" s="64"/>
      <c r="I47" s="65"/>
    </row>
    <row r="48" spans="1:9" ht="17.25" customHeight="1">
      <c r="A48" s="19" t="s">
        <v>52</v>
      </c>
      <c r="B48" s="10" t="s">
        <v>53</v>
      </c>
      <c r="C48" s="9" t="s">
        <v>4</v>
      </c>
      <c r="D48" s="11">
        <v>6254.6040000000003</v>
      </c>
      <c r="E48" s="11">
        <v>6135.97</v>
      </c>
      <c r="F48" s="17">
        <f>E48-D48</f>
        <v>-118.63400000000001</v>
      </c>
      <c r="G48" s="12">
        <f t="shared" si="1"/>
        <v>-1.8967467804516482</v>
      </c>
      <c r="H48" s="64"/>
      <c r="I48" s="65"/>
    </row>
    <row r="49" spans="1:9" ht="17.25" hidden="1" customHeight="1">
      <c r="A49" s="9"/>
      <c r="B49" s="13" t="s">
        <v>13</v>
      </c>
      <c r="C49" s="14" t="s">
        <v>49</v>
      </c>
      <c r="D49" s="15">
        <v>62521</v>
      </c>
      <c r="E49" s="15">
        <v>59370</v>
      </c>
      <c r="F49" s="17">
        <f t="shared" si="5"/>
        <v>-3151</v>
      </c>
      <c r="G49" s="12">
        <f t="shared" si="1"/>
        <v>-5.0399065913852947</v>
      </c>
      <c r="H49" s="64"/>
      <c r="I49" s="65"/>
    </row>
    <row r="50" spans="1:9" ht="17.25" hidden="1" customHeight="1">
      <c r="A50" s="9"/>
      <c r="B50" s="13" t="s">
        <v>15</v>
      </c>
      <c r="C50" s="14" t="s">
        <v>16</v>
      </c>
      <c r="D50" s="17">
        <f>D48/D49*1000</f>
        <v>100.04005054301756</v>
      </c>
      <c r="E50" s="17">
        <f>E48/E49*1000</f>
        <v>103.35135590365505</v>
      </c>
      <c r="F50" s="17">
        <f t="shared" si="5"/>
        <v>3.3113053606374905</v>
      </c>
      <c r="G50" s="12">
        <f t="shared" si="1"/>
        <v>3.3099796957955534</v>
      </c>
      <c r="H50" s="64"/>
      <c r="I50" s="65"/>
    </row>
    <row r="51" spans="1:9" ht="17.25" customHeight="1">
      <c r="A51" s="19" t="s">
        <v>54</v>
      </c>
      <c r="B51" s="21" t="s">
        <v>55</v>
      </c>
      <c r="C51" s="9" t="s">
        <v>4</v>
      </c>
      <c r="D51" s="11">
        <f t="shared" ref="D51:E52" si="7">D54+D57+D60+D63+D66+D69</f>
        <v>704.48400000000004</v>
      </c>
      <c r="E51" s="11">
        <f t="shared" si="7"/>
        <v>757.05200000000002</v>
      </c>
      <c r="F51" s="17">
        <f>E51-D51</f>
        <v>52.567999999999984</v>
      </c>
      <c r="G51" s="12">
        <f t="shared" si="1"/>
        <v>7.4619153877163971</v>
      </c>
      <c r="H51" s="64"/>
      <c r="I51" s="65"/>
    </row>
    <row r="52" spans="1:9" ht="17.25" hidden="1" customHeight="1">
      <c r="A52" s="9"/>
      <c r="B52" s="20" t="s">
        <v>13</v>
      </c>
      <c r="C52" s="14" t="s">
        <v>49</v>
      </c>
      <c r="D52" s="15">
        <f t="shared" si="7"/>
        <v>1616</v>
      </c>
      <c r="E52" s="15">
        <f t="shared" si="7"/>
        <v>1998</v>
      </c>
      <c r="F52" s="17">
        <f t="shared" si="5"/>
        <v>382</v>
      </c>
      <c r="G52" s="12">
        <f t="shared" si="1"/>
        <v>23.638613861386137</v>
      </c>
      <c r="H52" s="64"/>
      <c r="I52" s="65"/>
    </row>
    <row r="53" spans="1:9" ht="17.25" hidden="1" customHeight="1">
      <c r="A53" s="9"/>
      <c r="B53" s="20" t="s">
        <v>15</v>
      </c>
      <c r="C53" s="14" t="s">
        <v>16</v>
      </c>
      <c r="D53" s="17">
        <f>D51/D52*1000</f>
        <v>435.94306930693074</v>
      </c>
      <c r="E53" s="17">
        <f>E51/E52*1000</f>
        <v>378.90490490490492</v>
      </c>
      <c r="F53" s="17">
        <f t="shared" si="5"/>
        <v>-57.038164402025814</v>
      </c>
      <c r="G53" s="12">
        <f t="shared" si="1"/>
        <v>-13.083856222948102</v>
      </c>
      <c r="H53" s="64"/>
      <c r="I53" s="65"/>
    </row>
    <row r="54" spans="1:9" ht="17.25" hidden="1" customHeight="1">
      <c r="A54" s="9"/>
      <c r="B54" s="21" t="s">
        <v>56</v>
      </c>
      <c r="C54" s="9" t="s">
        <v>4</v>
      </c>
      <c r="D54" s="11">
        <v>152.44399999999999</v>
      </c>
      <c r="E54" s="11">
        <v>122.372</v>
      </c>
      <c r="F54" s="17">
        <f>E54-D54</f>
        <v>-30.071999999999989</v>
      </c>
      <c r="G54" s="12">
        <f t="shared" si="1"/>
        <v>-19.726588124163623</v>
      </c>
      <c r="H54" s="64"/>
      <c r="I54" s="65"/>
    </row>
    <row r="55" spans="1:9" ht="17.25" hidden="1" customHeight="1">
      <c r="A55" s="9"/>
      <c r="B55" s="13" t="s">
        <v>13</v>
      </c>
      <c r="C55" s="14" t="s">
        <v>49</v>
      </c>
      <c r="D55" s="15">
        <v>201</v>
      </c>
      <c r="E55" s="15">
        <v>227</v>
      </c>
      <c r="F55" s="17">
        <f t="shared" si="5"/>
        <v>26</v>
      </c>
      <c r="G55" s="12">
        <f t="shared" si="1"/>
        <v>12.935323383084576</v>
      </c>
      <c r="H55" s="64"/>
      <c r="I55" s="65"/>
    </row>
    <row r="56" spans="1:9" ht="17.25" hidden="1" customHeight="1">
      <c r="A56" s="9"/>
      <c r="B56" s="13" t="s">
        <v>15</v>
      </c>
      <c r="C56" s="14" t="s">
        <v>16</v>
      </c>
      <c r="D56" s="17">
        <f>D54/D55*1000</f>
        <v>758.42786069651731</v>
      </c>
      <c r="E56" s="17">
        <f>E54/E55*1000</f>
        <v>539.08370044052867</v>
      </c>
      <c r="F56" s="17">
        <f t="shared" si="5"/>
        <v>-219.34416025598864</v>
      </c>
      <c r="G56" s="12">
        <f t="shared" si="1"/>
        <v>-28.920899616550155</v>
      </c>
      <c r="H56" s="64"/>
      <c r="I56" s="65"/>
    </row>
    <row r="57" spans="1:9" ht="17.25" hidden="1" customHeight="1">
      <c r="A57" s="9"/>
      <c r="B57" s="21" t="s">
        <v>57</v>
      </c>
      <c r="C57" s="9" t="s">
        <v>4</v>
      </c>
      <c r="D57" s="11">
        <v>156.08799999999999</v>
      </c>
      <c r="E57" s="11">
        <v>185.57400000000001</v>
      </c>
      <c r="F57" s="17">
        <f>E57-D57</f>
        <v>29.486000000000018</v>
      </c>
      <c r="G57" s="12">
        <f t="shared" si="1"/>
        <v>18.890625800830314</v>
      </c>
      <c r="H57" s="70" t="s">
        <v>293</v>
      </c>
      <c r="I57" s="71"/>
    </row>
    <row r="58" spans="1:9" ht="17.25" hidden="1" customHeight="1">
      <c r="A58" s="9"/>
      <c r="B58" s="13" t="s">
        <v>13</v>
      </c>
      <c r="C58" s="14" t="s">
        <v>49</v>
      </c>
      <c r="D58" s="15">
        <v>529</v>
      </c>
      <c r="E58" s="15">
        <v>612</v>
      </c>
      <c r="F58" s="17">
        <f t="shared" si="5"/>
        <v>83</v>
      </c>
      <c r="G58" s="12">
        <f t="shared" si="1"/>
        <v>15.689981096408317</v>
      </c>
      <c r="H58" s="72"/>
      <c r="I58" s="73"/>
    </row>
    <row r="59" spans="1:9" ht="17.25" hidden="1" customHeight="1">
      <c r="A59" s="9"/>
      <c r="B59" s="13" t="s">
        <v>15</v>
      </c>
      <c r="C59" s="14" t="s">
        <v>16</v>
      </c>
      <c r="D59" s="17">
        <f>D57/D58*1000</f>
        <v>295.06238185255194</v>
      </c>
      <c r="E59" s="17">
        <f>E57/E58*1000</f>
        <v>303.22549019607845</v>
      </c>
      <c r="F59" s="17">
        <f t="shared" si="5"/>
        <v>8.1631083435265168</v>
      </c>
      <c r="G59" s="12">
        <f t="shared" si="1"/>
        <v>2.7665703409137974</v>
      </c>
      <c r="H59" s="64"/>
      <c r="I59" s="65"/>
    </row>
    <row r="60" spans="1:9" ht="17.25" hidden="1" customHeight="1">
      <c r="A60" s="9"/>
      <c r="B60" s="21" t="s">
        <v>58</v>
      </c>
      <c r="C60" s="9" t="s">
        <v>4</v>
      </c>
      <c r="D60" s="11">
        <v>210.578</v>
      </c>
      <c r="E60" s="11">
        <v>267.96800000000002</v>
      </c>
      <c r="F60" s="17">
        <f>E60-D60</f>
        <v>57.390000000000015</v>
      </c>
      <c r="G60" s="12">
        <f t="shared" si="1"/>
        <v>27.253559251203836</v>
      </c>
      <c r="H60" s="70" t="s">
        <v>293</v>
      </c>
      <c r="I60" s="71"/>
    </row>
    <row r="61" spans="1:9" ht="17.25" hidden="1" customHeight="1">
      <c r="A61" s="9"/>
      <c r="B61" s="13" t="s">
        <v>13</v>
      </c>
      <c r="C61" s="14" t="s">
        <v>49</v>
      </c>
      <c r="D61" s="15">
        <v>519</v>
      </c>
      <c r="E61" s="15">
        <v>773</v>
      </c>
      <c r="F61" s="17">
        <f t="shared" si="5"/>
        <v>254</v>
      </c>
      <c r="G61" s="12">
        <f t="shared" si="1"/>
        <v>48.940269749518308</v>
      </c>
      <c r="H61" s="72"/>
      <c r="I61" s="73"/>
    </row>
    <row r="62" spans="1:9" ht="17.25" hidden="1" customHeight="1">
      <c r="A62" s="9"/>
      <c r="B62" s="13" t="s">
        <v>15</v>
      </c>
      <c r="C62" s="14" t="s">
        <v>16</v>
      </c>
      <c r="D62" s="17">
        <f>D60/D61*1000</f>
        <v>405.73795761079003</v>
      </c>
      <c r="E62" s="17">
        <f>E60/E61*1000</f>
        <v>346.65976714100913</v>
      </c>
      <c r="F62" s="17">
        <f t="shared" si="5"/>
        <v>-59.078190469780907</v>
      </c>
      <c r="G62" s="12">
        <f t="shared" si="1"/>
        <v>-14.560676259541019</v>
      </c>
      <c r="H62" s="64"/>
      <c r="I62" s="65"/>
    </row>
    <row r="63" spans="1:9" ht="17.25" hidden="1" customHeight="1">
      <c r="A63" s="9"/>
      <c r="B63" s="21" t="s">
        <v>220</v>
      </c>
      <c r="C63" s="9" t="s">
        <v>4</v>
      </c>
      <c r="D63" s="11">
        <v>48.533000000000001</v>
      </c>
      <c r="E63" s="11">
        <v>31.623000000000001</v>
      </c>
      <c r="F63" s="17">
        <f>E63-D63</f>
        <v>-16.91</v>
      </c>
      <c r="G63" s="12">
        <f t="shared" si="1"/>
        <v>-34.84227226835349</v>
      </c>
      <c r="H63" s="64"/>
      <c r="I63" s="65"/>
    </row>
    <row r="64" spans="1:9" ht="17.25" hidden="1" customHeight="1">
      <c r="A64" s="9"/>
      <c r="B64" s="13" t="s">
        <v>13</v>
      </c>
      <c r="C64" s="14" t="s">
        <v>49</v>
      </c>
      <c r="D64" s="15">
        <v>63</v>
      </c>
      <c r="E64" s="15">
        <v>63</v>
      </c>
      <c r="F64" s="17">
        <f t="shared" si="5"/>
        <v>0</v>
      </c>
      <c r="G64" s="12">
        <f t="shared" si="1"/>
        <v>0</v>
      </c>
      <c r="H64" s="64"/>
      <c r="I64" s="65"/>
    </row>
    <row r="65" spans="1:9" ht="17.25" hidden="1" customHeight="1">
      <c r="A65" s="9"/>
      <c r="B65" s="13" t="s">
        <v>15</v>
      </c>
      <c r="C65" s="14" t="s">
        <v>16</v>
      </c>
      <c r="D65" s="17">
        <f>D63/D64*1000</f>
        <v>770.3650793650794</v>
      </c>
      <c r="E65" s="17">
        <f>E63/E64*1000</f>
        <v>501.95238095238091</v>
      </c>
      <c r="F65" s="17">
        <f t="shared" si="5"/>
        <v>-268.41269841269849</v>
      </c>
      <c r="G65" s="12">
        <f t="shared" si="1"/>
        <v>-34.842272268353504</v>
      </c>
      <c r="H65" s="64"/>
      <c r="I65" s="65"/>
    </row>
    <row r="66" spans="1:9" ht="17.25" hidden="1" customHeight="1">
      <c r="A66" s="9"/>
      <c r="B66" s="10" t="s">
        <v>59</v>
      </c>
      <c r="C66" s="9" t="s">
        <v>4</v>
      </c>
      <c r="D66" s="11"/>
      <c r="E66" s="11"/>
      <c r="F66" s="17">
        <f>E66-D66</f>
        <v>0</v>
      </c>
      <c r="G66" s="12"/>
      <c r="H66" s="64"/>
      <c r="I66" s="65"/>
    </row>
    <row r="67" spans="1:9" ht="17.25" hidden="1" customHeight="1">
      <c r="A67" s="9"/>
      <c r="B67" s="13" t="s">
        <v>13</v>
      </c>
      <c r="C67" s="14" t="s">
        <v>49</v>
      </c>
      <c r="D67" s="15"/>
      <c r="E67" s="15"/>
      <c r="F67" s="17">
        <f t="shared" si="5"/>
        <v>0</v>
      </c>
      <c r="G67" s="12" t="e">
        <f t="shared" si="1"/>
        <v>#DIV/0!</v>
      </c>
      <c r="H67" s="64"/>
      <c r="I67" s="65"/>
    </row>
    <row r="68" spans="1:9" ht="17.25" hidden="1" customHeight="1">
      <c r="A68" s="9"/>
      <c r="B68" s="13" t="s">
        <v>15</v>
      </c>
      <c r="C68" s="14" t="s">
        <v>16</v>
      </c>
      <c r="D68" s="12"/>
      <c r="E68" s="12"/>
      <c r="F68" s="17">
        <f t="shared" si="5"/>
        <v>0</v>
      </c>
      <c r="G68" s="12" t="e">
        <f t="shared" si="1"/>
        <v>#DIV/0!</v>
      </c>
      <c r="H68" s="64"/>
      <c r="I68" s="65"/>
    </row>
    <row r="69" spans="1:9" ht="17.25" hidden="1" customHeight="1">
      <c r="A69" s="9"/>
      <c r="B69" s="21" t="s">
        <v>60</v>
      </c>
      <c r="C69" s="9" t="s">
        <v>4</v>
      </c>
      <c r="D69" s="11">
        <v>136.84100000000001</v>
      </c>
      <c r="E69" s="11">
        <v>149.51499999999999</v>
      </c>
      <c r="F69" s="17">
        <f>E69-D69</f>
        <v>12.673999999999978</v>
      </c>
      <c r="G69" s="12">
        <f t="shared" si="1"/>
        <v>9.2618440379710592</v>
      </c>
      <c r="H69" s="70" t="s">
        <v>294</v>
      </c>
      <c r="I69" s="71"/>
    </row>
    <row r="70" spans="1:9" ht="17.25" hidden="1" customHeight="1">
      <c r="A70" s="9"/>
      <c r="B70" s="13" t="s">
        <v>13</v>
      </c>
      <c r="C70" s="14" t="s">
        <v>61</v>
      </c>
      <c r="D70" s="15">
        <v>304</v>
      </c>
      <c r="E70" s="15">
        <v>323</v>
      </c>
      <c r="F70" s="17">
        <f t="shared" si="5"/>
        <v>19</v>
      </c>
      <c r="G70" s="12">
        <f t="shared" si="1"/>
        <v>6.25</v>
      </c>
      <c r="H70" s="72"/>
      <c r="I70" s="73"/>
    </row>
    <row r="71" spans="1:9" ht="17.25" hidden="1" customHeight="1">
      <c r="A71" s="9"/>
      <c r="B71" s="13" t="s">
        <v>15</v>
      </c>
      <c r="C71" s="14" t="s">
        <v>16</v>
      </c>
      <c r="D71" s="17">
        <f>D69/D70*1000</f>
        <v>450.13486842105266</v>
      </c>
      <c r="E71" s="17">
        <f>E69/E70*1000</f>
        <v>462.89473684210526</v>
      </c>
      <c r="F71" s="17">
        <f t="shared" si="5"/>
        <v>12.759868421052602</v>
      </c>
      <c r="G71" s="12">
        <f t="shared" si="1"/>
        <v>2.8346767416198295</v>
      </c>
      <c r="H71" s="64"/>
      <c r="I71" s="65"/>
    </row>
    <row r="72" spans="1:9" ht="22.5" customHeight="1">
      <c r="A72" s="19" t="s">
        <v>62</v>
      </c>
      <c r="B72" s="21" t="s">
        <v>63</v>
      </c>
      <c r="C72" s="9" t="s">
        <v>4</v>
      </c>
      <c r="D72" s="11">
        <f>D73</f>
        <v>275843.56</v>
      </c>
      <c r="E72" s="11">
        <f>E73</f>
        <v>272055.12599999999</v>
      </c>
      <c r="F72" s="17">
        <f t="shared" ref="F72" si="8">F73</f>
        <v>-3788.4339999999993</v>
      </c>
      <c r="G72" s="12">
        <f t="shared" si="1"/>
        <v>-1.3733994732376567</v>
      </c>
      <c r="H72" s="70" t="s">
        <v>299</v>
      </c>
      <c r="I72" s="71"/>
    </row>
    <row r="73" spans="1:9" ht="17.25" customHeight="1">
      <c r="A73" s="9"/>
      <c r="B73" s="30" t="s">
        <v>64</v>
      </c>
      <c r="C73" s="9" t="s">
        <v>4</v>
      </c>
      <c r="D73" s="11">
        <f>D75+D78+D81+D84</f>
        <v>275843.56</v>
      </c>
      <c r="E73" s="11">
        <f t="shared" ref="E73:E74" si="9">E75+E78+E81+E84</f>
        <v>272055.12599999999</v>
      </c>
      <c r="F73" s="17">
        <f t="shared" ref="D73:F74" si="10">F75+F78+F81+F84</f>
        <v>-3788.4339999999993</v>
      </c>
      <c r="G73" s="12">
        <f t="shared" ref="G73:G136" si="11">F73/D73*100</f>
        <v>-1.3733994732376567</v>
      </c>
      <c r="H73" s="72"/>
      <c r="I73" s="73"/>
    </row>
    <row r="74" spans="1:9" ht="17.25" customHeight="1">
      <c r="A74" s="9"/>
      <c r="B74" s="30" t="s">
        <v>65</v>
      </c>
      <c r="C74" s="23" t="s">
        <v>66</v>
      </c>
      <c r="D74" s="15">
        <f t="shared" si="10"/>
        <v>14278611</v>
      </c>
      <c r="E74" s="15">
        <f t="shared" si="9"/>
        <v>14091494</v>
      </c>
      <c r="F74" s="15">
        <f t="shared" si="10"/>
        <v>-187117</v>
      </c>
      <c r="G74" s="12">
        <f t="shared" si="11"/>
        <v>-1.3104706052990729</v>
      </c>
      <c r="H74" s="64"/>
      <c r="I74" s="65"/>
    </row>
    <row r="75" spans="1:9" ht="36" hidden="1" customHeight="1">
      <c r="A75" s="9"/>
      <c r="B75" s="13" t="s">
        <v>67</v>
      </c>
      <c r="C75" s="9" t="s">
        <v>4</v>
      </c>
      <c r="D75" s="11">
        <v>15217.1</v>
      </c>
      <c r="E75" s="11">
        <v>15230.325000000001</v>
      </c>
      <c r="F75" s="17">
        <f>E75-D75</f>
        <v>13.225000000000364</v>
      </c>
      <c r="G75" s="12">
        <f t="shared" si="11"/>
        <v>8.6908806540013303E-2</v>
      </c>
      <c r="H75" s="64"/>
      <c r="I75" s="65"/>
    </row>
    <row r="76" spans="1:9" ht="17.25" hidden="1" customHeight="1">
      <c r="A76" s="9"/>
      <c r="B76" s="13" t="s">
        <v>68</v>
      </c>
      <c r="C76" s="23" t="s">
        <v>66</v>
      </c>
      <c r="D76" s="15">
        <v>807269</v>
      </c>
      <c r="E76" s="15">
        <v>808679</v>
      </c>
      <c r="F76" s="17">
        <f>E76-D76</f>
        <v>1410</v>
      </c>
      <c r="G76" s="12">
        <f t="shared" si="11"/>
        <v>0.17466296860154421</v>
      </c>
      <c r="H76" s="64"/>
      <c r="I76" s="65"/>
    </row>
    <row r="77" spans="1:9" ht="17.25" hidden="1" customHeight="1">
      <c r="A77" s="9"/>
      <c r="B77" s="13" t="s">
        <v>15</v>
      </c>
      <c r="C77" s="14" t="s">
        <v>16</v>
      </c>
      <c r="D77" s="17">
        <f>D75/D76*1000</f>
        <v>18.850098294372753</v>
      </c>
      <c r="E77" s="17">
        <f>E75/E76*1000</f>
        <v>18.833585390494868</v>
      </c>
      <c r="F77" s="17">
        <f t="shared" ref="F77:F86" si="12">E77-D77</f>
        <v>-1.6512903877885066E-2</v>
      </c>
      <c r="G77" s="12">
        <f t="shared" si="11"/>
        <v>-8.7601155283177481E-2</v>
      </c>
      <c r="H77" s="64"/>
      <c r="I77" s="65"/>
    </row>
    <row r="78" spans="1:9" ht="17.25" hidden="1" customHeight="1">
      <c r="A78" s="9"/>
      <c r="B78" s="13" t="s">
        <v>69</v>
      </c>
      <c r="C78" s="9" t="s">
        <v>4</v>
      </c>
      <c r="D78" s="11">
        <v>14239.927</v>
      </c>
      <c r="E78" s="11">
        <v>13990.374</v>
      </c>
      <c r="F78" s="17">
        <f>E78-D78</f>
        <v>-249.55299999999988</v>
      </c>
      <c r="G78" s="12">
        <f t="shared" si="11"/>
        <v>-1.7524879165462006</v>
      </c>
      <c r="H78" s="64"/>
      <c r="I78" s="65"/>
    </row>
    <row r="79" spans="1:9" ht="17.25" hidden="1" customHeight="1">
      <c r="A79" s="9"/>
      <c r="B79" s="20"/>
      <c r="C79" s="23" t="s">
        <v>66</v>
      </c>
      <c r="D79" s="15">
        <v>760374</v>
      </c>
      <c r="E79" s="15">
        <v>746564</v>
      </c>
      <c r="F79" s="17">
        <f>E79-D79</f>
        <v>-13810</v>
      </c>
      <c r="G79" s="12">
        <f t="shared" si="11"/>
        <v>-1.8162114959217439</v>
      </c>
      <c r="H79" s="64"/>
      <c r="I79" s="65"/>
    </row>
    <row r="80" spans="1:9" ht="17.25" hidden="1" customHeight="1">
      <c r="A80" s="9"/>
      <c r="B80" s="20"/>
      <c r="C80" s="14" t="s">
        <v>16</v>
      </c>
      <c r="D80" s="17">
        <f>D78/D79*1000</f>
        <v>18.727530136485463</v>
      </c>
      <c r="E80" s="17">
        <f>E78/E79*1000</f>
        <v>18.739684742366361</v>
      </c>
      <c r="F80" s="17">
        <f t="shared" si="12"/>
        <v>1.2154605880898117E-2</v>
      </c>
      <c r="G80" s="12">
        <f t="shared" si="11"/>
        <v>6.4902343193767961E-2</v>
      </c>
      <c r="H80" s="64"/>
      <c r="I80" s="65"/>
    </row>
    <row r="81" spans="1:13" ht="36" hidden="1" customHeight="1">
      <c r="A81" s="9"/>
      <c r="B81" s="13" t="s">
        <v>70</v>
      </c>
      <c r="C81" s="9" t="s">
        <v>4</v>
      </c>
      <c r="D81" s="11">
        <v>39275.152000000002</v>
      </c>
      <c r="E81" s="11">
        <v>42729.133000000002</v>
      </c>
      <c r="F81" s="17">
        <f>E81-D81</f>
        <v>3453.9809999999998</v>
      </c>
      <c r="G81" s="12">
        <f t="shared" si="11"/>
        <v>8.794316060189912</v>
      </c>
      <c r="H81" s="64"/>
      <c r="I81" s="65"/>
    </row>
    <row r="82" spans="1:13" ht="17.25" hidden="1" customHeight="1">
      <c r="A82" s="9"/>
      <c r="B82" s="20"/>
      <c r="C82" s="23" t="s">
        <v>66</v>
      </c>
      <c r="D82" s="15">
        <v>2089867</v>
      </c>
      <c r="E82" s="15">
        <v>2274441</v>
      </c>
      <c r="F82" s="15">
        <f>E82-D82</f>
        <v>184574</v>
      </c>
      <c r="G82" s="12">
        <f t="shared" si="11"/>
        <v>8.8318538930946318</v>
      </c>
      <c r="H82" s="64"/>
      <c r="I82" s="65"/>
    </row>
    <row r="83" spans="1:13" ht="17.25" hidden="1" customHeight="1">
      <c r="A83" s="9"/>
      <c r="B83" s="20"/>
      <c r="C83" s="14" t="s">
        <v>16</v>
      </c>
      <c r="D83" s="17">
        <f>D81/D82*1000</f>
        <v>18.793134682733399</v>
      </c>
      <c r="E83" s="17">
        <f>E81/E82*1000</f>
        <v>18.786652632449027</v>
      </c>
      <c r="F83" s="17">
        <v>0</v>
      </c>
      <c r="G83" s="12">
        <f t="shared" si="11"/>
        <v>0</v>
      </c>
      <c r="H83" s="64"/>
      <c r="I83" s="65"/>
    </row>
    <row r="84" spans="1:13" ht="17.25" hidden="1" customHeight="1">
      <c r="A84" s="9"/>
      <c r="B84" s="13" t="s">
        <v>71</v>
      </c>
      <c r="C84" s="9" t="s">
        <v>4</v>
      </c>
      <c r="D84" s="11">
        <v>207111.38099999999</v>
      </c>
      <c r="E84" s="11">
        <v>200105.29399999999</v>
      </c>
      <c r="F84" s="17">
        <f>E84-D84</f>
        <v>-7006.0869999999995</v>
      </c>
      <c r="G84" s="12">
        <f t="shared" si="11"/>
        <v>-3.3827629202086191</v>
      </c>
      <c r="H84" s="64"/>
      <c r="I84" s="65"/>
    </row>
    <row r="85" spans="1:13" ht="17.25" hidden="1" customHeight="1">
      <c r="A85" s="9"/>
      <c r="B85" s="20"/>
      <c r="C85" s="23" t="s">
        <v>66</v>
      </c>
      <c r="D85" s="15">
        <v>10621101</v>
      </c>
      <c r="E85" s="15">
        <v>10261810</v>
      </c>
      <c r="F85" s="15">
        <f>E85-D85</f>
        <v>-359291</v>
      </c>
      <c r="G85" s="12">
        <f t="shared" si="11"/>
        <v>-3.3828037225142666</v>
      </c>
      <c r="H85" s="64"/>
      <c r="I85" s="65"/>
    </row>
    <row r="86" spans="1:13" ht="17.25" hidden="1" customHeight="1">
      <c r="A86" s="9"/>
      <c r="B86" s="20"/>
      <c r="C86" s="14" t="s">
        <v>16</v>
      </c>
      <c r="D86" s="17">
        <f>D84/D85*1000</f>
        <v>19.499991667530512</v>
      </c>
      <c r="E86" s="17">
        <f>E84/E85*1000</f>
        <v>19.499999902551306</v>
      </c>
      <c r="F86" s="17">
        <f t="shared" si="12"/>
        <v>8.2350207932790909E-6</v>
      </c>
      <c r="G86" s="12">
        <f t="shared" si="11"/>
        <v>4.2230893908489433E-5</v>
      </c>
      <c r="H86" s="64"/>
      <c r="I86" s="65"/>
    </row>
    <row r="87" spans="1:13" ht="17.25" customHeight="1">
      <c r="A87" s="36" t="s">
        <v>72</v>
      </c>
      <c r="B87" s="6" t="s">
        <v>73</v>
      </c>
      <c r="C87" s="36" t="s">
        <v>4</v>
      </c>
      <c r="D87" s="7">
        <f t="shared" ref="D87" si="13">D88+D89</f>
        <v>199033.674</v>
      </c>
      <c r="E87" s="7">
        <f>E88+E89</f>
        <v>199161.74400000001</v>
      </c>
      <c r="F87" s="7">
        <f>F88+F89</f>
        <v>128.06999999999971</v>
      </c>
      <c r="G87" s="12">
        <f t="shared" si="11"/>
        <v>6.4345895559361335E-2</v>
      </c>
      <c r="H87" s="74" t="s">
        <v>300</v>
      </c>
      <c r="I87" s="75"/>
    </row>
    <row r="88" spans="1:13" ht="17.25" customHeight="1">
      <c r="A88" s="9" t="s">
        <v>74</v>
      </c>
      <c r="B88" s="10" t="s">
        <v>75</v>
      </c>
      <c r="C88" s="9" t="s">
        <v>4</v>
      </c>
      <c r="D88" s="11">
        <v>181085.18400000001</v>
      </c>
      <c r="E88" s="11">
        <f>181194.404+1265.096-1265.096</f>
        <v>181194.40400000001</v>
      </c>
      <c r="F88" s="17">
        <f>E88-D88</f>
        <v>109.22000000000116</v>
      </c>
      <c r="G88" s="12">
        <f t="shared" si="11"/>
        <v>6.0314155795319596E-2</v>
      </c>
      <c r="H88" s="64"/>
      <c r="I88" s="65"/>
      <c r="M88" s="32"/>
    </row>
    <row r="89" spans="1:13" ht="17.25" customHeight="1">
      <c r="A89" s="9" t="s">
        <v>76</v>
      </c>
      <c r="B89" s="10" t="s">
        <v>77</v>
      </c>
      <c r="C89" s="9" t="s">
        <v>4</v>
      </c>
      <c r="D89" s="11">
        <v>17948.490000000002</v>
      </c>
      <c r="E89" s="11">
        <f>17967.34</f>
        <v>17967.34</v>
      </c>
      <c r="F89" s="17">
        <f t="shared" ref="F89" si="14">E89-D89</f>
        <v>18.849999999998545</v>
      </c>
      <c r="G89" s="12">
        <f t="shared" si="11"/>
        <v>0.10502276236050243</v>
      </c>
      <c r="H89" s="64"/>
      <c r="I89" s="65"/>
    </row>
    <row r="90" spans="1:13" ht="17.25" customHeight="1">
      <c r="A90" s="36" t="s">
        <v>78</v>
      </c>
      <c r="B90" s="6" t="s">
        <v>79</v>
      </c>
      <c r="C90" s="36" t="s">
        <v>4</v>
      </c>
      <c r="D90" s="7">
        <f>D91</f>
        <v>115469.156</v>
      </c>
      <c r="E90" s="7">
        <f>E91</f>
        <v>115678.79999999999</v>
      </c>
      <c r="F90" s="22">
        <f t="shared" ref="F90" si="15">F91</f>
        <v>209.64399999998568</v>
      </c>
      <c r="G90" s="12">
        <f t="shared" si="11"/>
        <v>0.18155844145945405</v>
      </c>
      <c r="H90" s="64"/>
      <c r="I90" s="65"/>
    </row>
    <row r="91" spans="1:13" ht="17.25" customHeight="1">
      <c r="A91" s="25" t="s">
        <v>80</v>
      </c>
      <c r="B91" s="10" t="s">
        <v>81</v>
      </c>
      <c r="C91" s="9" t="s">
        <v>4</v>
      </c>
      <c r="D91" s="11">
        <v>115469.156</v>
      </c>
      <c r="E91" s="11">
        <f>115696.9-18.1</f>
        <v>115678.79999999999</v>
      </c>
      <c r="F91" s="17">
        <f>E91-D91</f>
        <v>209.64399999998568</v>
      </c>
      <c r="G91" s="12">
        <f t="shared" si="11"/>
        <v>0.18155844145945405</v>
      </c>
      <c r="H91" s="64"/>
      <c r="I91" s="65"/>
    </row>
    <row r="92" spans="1:13" ht="17.25" customHeight="1">
      <c r="A92" s="36" t="s">
        <v>82</v>
      </c>
      <c r="B92" s="6" t="s">
        <v>83</v>
      </c>
      <c r="C92" s="36" t="s">
        <v>4</v>
      </c>
      <c r="D92" s="7">
        <f t="shared" ref="D92:F92" si="16">D93</f>
        <v>3320.81</v>
      </c>
      <c r="E92" s="7">
        <f t="shared" si="16"/>
        <v>3159.7190000000001</v>
      </c>
      <c r="F92" s="22">
        <f t="shared" si="16"/>
        <v>-161.09099999999989</v>
      </c>
      <c r="G92" s="12">
        <f t="shared" si="11"/>
        <v>-4.8509550380780562</v>
      </c>
      <c r="H92" s="64"/>
      <c r="I92" s="65"/>
    </row>
    <row r="93" spans="1:13" ht="54" customHeight="1">
      <c r="A93" s="9" t="s">
        <v>84</v>
      </c>
      <c r="B93" s="10" t="s">
        <v>85</v>
      </c>
      <c r="C93" s="9" t="s">
        <v>4</v>
      </c>
      <c r="D93" s="11">
        <v>3320.81</v>
      </c>
      <c r="E93" s="11">
        <v>3159.7190000000001</v>
      </c>
      <c r="F93" s="17">
        <f>E93-D93</f>
        <v>-161.09099999999989</v>
      </c>
      <c r="G93" s="12">
        <f t="shared" si="11"/>
        <v>-4.8509550380780562</v>
      </c>
      <c r="H93" s="66" t="s">
        <v>301</v>
      </c>
      <c r="I93" s="67"/>
    </row>
    <row r="94" spans="1:13" ht="17.25" customHeight="1">
      <c r="A94" s="36" t="s">
        <v>86</v>
      </c>
      <c r="B94" s="6" t="s">
        <v>87</v>
      </c>
      <c r="C94" s="36" t="s">
        <v>4</v>
      </c>
      <c r="D94" s="7">
        <f t="shared" ref="D94:F94" si="17">D95+D96+D100+D101+D106+D107</f>
        <v>27513.991000000002</v>
      </c>
      <c r="E94" s="7">
        <f t="shared" si="17"/>
        <v>27443.061999999998</v>
      </c>
      <c r="F94" s="22">
        <f t="shared" si="17"/>
        <v>-70.929000000000855</v>
      </c>
      <c r="G94" s="12">
        <f t="shared" si="11"/>
        <v>-0.25779248092361756</v>
      </c>
      <c r="H94" s="64"/>
      <c r="I94" s="65"/>
    </row>
    <row r="95" spans="1:13" ht="17.25" customHeight="1">
      <c r="A95" s="9" t="s">
        <v>88</v>
      </c>
      <c r="B95" s="10" t="s">
        <v>89</v>
      </c>
      <c r="C95" s="9" t="s">
        <v>4</v>
      </c>
      <c r="D95" s="11">
        <v>6176.28</v>
      </c>
      <c r="E95" s="11">
        <v>6057.5039999999999</v>
      </c>
      <c r="F95" s="17">
        <f>E95-D95</f>
        <v>-118.77599999999984</v>
      </c>
      <c r="G95" s="12">
        <f t="shared" si="11"/>
        <v>-1.9230993413511019</v>
      </c>
      <c r="H95" s="74" t="s">
        <v>300</v>
      </c>
      <c r="I95" s="75"/>
    </row>
    <row r="96" spans="1:13" ht="53.25" customHeight="1">
      <c r="A96" s="9" t="s">
        <v>90</v>
      </c>
      <c r="B96" s="21" t="s">
        <v>243</v>
      </c>
      <c r="C96" s="9" t="s">
        <v>4</v>
      </c>
      <c r="D96" s="11">
        <f t="shared" ref="D96:F96" si="18">D97+D98+D99</f>
        <v>1304</v>
      </c>
      <c r="E96" s="11">
        <f t="shared" si="18"/>
        <v>1304.6500000000001</v>
      </c>
      <c r="F96" s="17">
        <f t="shared" si="18"/>
        <v>0.64999999999997726</v>
      </c>
      <c r="G96" s="12">
        <f t="shared" si="11"/>
        <v>4.9846625766869428E-2</v>
      </c>
      <c r="H96" s="64"/>
      <c r="I96" s="65"/>
    </row>
    <row r="97" spans="1:9" ht="17.25" hidden="1" customHeight="1">
      <c r="A97" s="9" t="s">
        <v>91</v>
      </c>
      <c r="B97" s="21" t="s">
        <v>92</v>
      </c>
      <c r="C97" s="9" t="s">
        <v>4</v>
      </c>
      <c r="D97" s="11">
        <v>519</v>
      </c>
      <c r="E97" s="11">
        <v>519</v>
      </c>
      <c r="F97" s="17">
        <f t="shared" ref="F97:F100" si="19">E97-D97</f>
        <v>0</v>
      </c>
      <c r="G97" s="12">
        <f t="shared" si="11"/>
        <v>0</v>
      </c>
      <c r="H97" s="64"/>
      <c r="I97" s="65"/>
    </row>
    <row r="98" spans="1:9" ht="33.75" hidden="1" customHeight="1">
      <c r="A98" s="9" t="s">
        <v>93</v>
      </c>
      <c r="B98" s="21" t="s">
        <v>94</v>
      </c>
      <c r="C98" s="9" t="s">
        <v>4</v>
      </c>
      <c r="D98" s="11">
        <v>385</v>
      </c>
      <c r="E98" s="11">
        <v>385.65</v>
      </c>
      <c r="F98" s="17">
        <f t="shared" si="19"/>
        <v>0.64999999999997726</v>
      </c>
      <c r="G98" s="12">
        <f t="shared" si="11"/>
        <v>0.16883116883116292</v>
      </c>
      <c r="H98" s="64"/>
      <c r="I98" s="65"/>
    </row>
    <row r="99" spans="1:9" ht="33.75" hidden="1" customHeight="1">
      <c r="A99" s="9" t="s">
        <v>95</v>
      </c>
      <c r="B99" s="21" t="s">
        <v>96</v>
      </c>
      <c r="C99" s="9" t="s">
        <v>4</v>
      </c>
      <c r="D99" s="11">
        <v>400</v>
      </c>
      <c r="E99" s="11">
        <v>400</v>
      </c>
      <c r="F99" s="17">
        <f t="shared" si="19"/>
        <v>0</v>
      </c>
      <c r="G99" s="12">
        <f t="shared" si="11"/>
        <v>0</v>
      </c>
      <c r="H99" s="64"/>
      <c r="I99" s="65"/>
    </row>
    <row r="100" spans="1:9" ht="17.25" customHeight="1">
      <c r="A100" s="9" t="s">
        <v>97</v>
      </c>
      <c r="B100" s="21" t="s">
        <v>98</v>
      </c>
      <c r="C100" s="9" t="s">
        <v>4</v>
      </c>
      <c r="D100" s="11">
        <v>12</v>
      </c>
      <c r="E100" s="11">
        <v>12</v>
      </c>
      <c r="F100" s="17">
        <f t="shared" si="19"/>
        <v>0</v>
      </c>
      <c r="G100" s="12">
        <f t="shared" si="11"/>
        <v>0</v>
      </c>
      <c r="H100" s="64"/>
      <c r="I100" s="65"/>
    </row>
    <row r="101" spans="1:9" ht="36" customHeight="1">
      <c r="A101" s="19" t="s">
        <v>105</v>
      </c>
      <c r="B101" s="21" t="s">
        <v>165</v>
      </c>
      <c r="C101" s="9" t="s">
        <v>4</v>
      </c>
      <c r="D101" s="11">
        <f t="shared" ref="D101:F101" si="20">D102+D103+D104+D105</f>
        <v>1485.3530000000001</v>
      </c>
      <c r="E101" s="11">
        <f t="shared" si="20"/>
        <v>1618.165</v>
      </c>
      <c r="F101" s="17">
        <f t="shared" si="20"/>
        <v>132.81200000000001</v>
      </c>
      <c r="G101" s="12">
        <f t="shared" si="11"/>
        <v>8.9414435491092021</v>
      </c>
      <c r="H101" s="64"/>
      <c r="I101" s="65"/>
    </row>
    <row r="102" spans="1:9" ht="17.25" hidden="1" customHeight="1">
      <c r="A102" s="26" t="s">
        <v>244</v>
      </c>
      <c r="B102" s="21" t="s">
        <v>100</v>
      </c>
      <c r="C102" s="9" t="s">
        <v>4</v>
      </c>
      <c r="D102" s="11">
        <v>374.73500000000001</v>
      </c>
      <c r="E102" s="11">
        <v>374.73500000000001</v>
      </c>
      <c r="F102" s="17">
        <f t="shared" ref="F102:F106" si="21">E102-D102</f>
        <v>0</v>
      </c>
      <c r="G102" s="12">
        <f t="shared" si="11"/>
        <v>0</v>
      </c>
      <c r="H102" s="64"/>
      <c r="I102" s="65"/>
    </row>
    <row r="103" spans="1:9" ht="43.5" hidden="1" customHeight="1">
      <c r="A103" s="9" t="s">
        <v>245</v>
      </c>
      <c r="B103" s="21" t="s">
        <v>101</v>
      </c>
      <c r="C103" s="9" t="s">
        <v>4</v>
      </c>
      <c r="D103" s="11">
        <v>751.09</v>
      </c>
      <c r="E103" s="11">
        <v>874.83</v>
      </c>
      <c r="F103" s="17">
        <f t="shared" si="21"/>
        <v>123.74000000000001</v>
      </c>
      <c r="G103" s="12">
        <f t="shared" si="11"/>
        <v>16.47472340198911</v>
      </c>
      <c r="H103" s="66" t="s">
        <v>289</v>
      </c>
      <c r="I103" s="67"/>
    </row>
    <row r="104" spans="1:9" ht="37.5" hidden="1" customHeight="1">
      <c r="A104" s="9" t="s">
        <v>246</v>
      </c>
      <c r="B104" s="21" t="s">
        <v>102</v>
      </c>
      <c r="C104" s="9" t="s">
        <v>4</v>
      </c>
      <c r="D104" s="11">
        <v>359.52800000000002</v>
      </c>
      <c r="E104" s="11">
        <v>368.6</v>
      </c>
      <c r="F104" s="17">
        <f t="shared" si="21"/>
        <v>9.0720000000000027</v>
      </c>
      <c r="G104" s="12">
        <f t="shared" si="11"/>
        <v>2.5233083375981851</v>
      </c>
      <c r="H104" s="64"/>
      <c r="I104" s="65"/>
    </row>
    <row r="105" spans="1:9" ht="35.25" hidden="1" customHeight="1">
      <c r="A105" s="9" t="s">
        <v>103</v>
      </c>
      <c r="B105" s="21" t="s">
        <v>104</v>
      </c>
      <c r="C105" s="9" t="s">
        <v>4</v>
      </c>
      <c r="D105" s="11">
        <v>0</v>
      </c>
      <c r="E105" s="11">
        <v>0</v>
      </c>
      <c r="F105" s="17">
        <f t="shared" si="21"/>
        <v>0</v>
      </c>
      <c r="G105" s="12" t="e">
        <f t="shared" si="11"/>
        <v>#DIV/0!</v>
      </c>
      <c r="H105" s="64"/>
      <c r="I105" s="65"/>
    </row>
    <row r="106" spans="1:9" ht="17.25" customHeight="1">
      <c r="A106" s="19" t="s">
        <v>247</v>
      </c>
      <c r="B106" s="21" t="s">
        <v>106</v>
      </c>
      <c r="C106" s="9" t="s">
        <v>4</v>
      </c>
      <c r="D106" s="11">
        <v>743.59799999999996</v>
      </c>
      <c r="E106" s="11">
        <f>733.423+10</f>
        <v>743.423</v>
      </c>
      <c r="F106" s="17">
        <f t="shared" si="21"/>
        <v>-0.17499999999995453</v>
      </c>
      <c r="G106" s="12">
        <f t="shared" si="11"/>
        <v>-2.3534221447604017E-2</v>
      </c>
      <c r="H106" s="64"/>
      <c r="I106" s="65"/>
    </row>
    <row r="107" spans="1:9" ht="17.25" customHeight="1">
      <c r="A107" s="18" t="s">
        <v>248</v>
      </c>
      <c r="B107" s="6" t="s">
        <v>107</v>
      </c>
      <c r="C107" s="9" t="s">
        <v>4</v>
      </c>
      <c r="D107" s="11">
        <f>D108+D112+D116+D120+D121+D122+D123+D124+D125+D126+D127+D128+D129+D130+D131+D132</f>
        <v>17792.760000000002</v>
      </c>
      <c r="E107" s="11">
        <f>E108+E112+E116+E120+E121+E122+E123+E124+E125+E126+E127+E128+E129+E130+E131+E132</f>
        <v>17707.32</v>
      </c>
      <c r="F107" s="11">
        <f>F108+F112+F116+F120+F121+F122+F123+F124+F125+F126+F127+F128+F129+F130+F131+F132</f>
        <v>-85.440000000001049</v>
      </c>
      <c r="G107" s="12">
        <f t="shared" si="11"/>
        <v>-0.48019531539795424</v>
      </c>
      <c r="H107" s="76"/>
      <c r="I107" s="65"/>
    </row>
    <row r="108" spans="1:9" ht="18" customHeight="1">
      <c r="A108" s="19" t="s">
        <v>249</v>
      </c>
      <c r="B108" s="10" t="s">
        <v>108</v>
      </c>
      <c r="C108" s="9" t="s">
        <v>4</v>
      </c>
      <c r="D108" s="11">
        <v>4837.9170000000004</v>
      </c>
      <c r="E108" s="11">
        <f>E109+E110+E111+625</f>
        <v>5033.3739999999989</v>
      </c>
      <c r="F108" s="17">
        <f>E108-D108</f>
        <v>195.45699999999852</v>
      </c>
      <c r="G108" s="12">
        <f t="shared" si="11"/>
        <v>4.0401065169162376</v>
      </c>
      <c r="H108" s="77"/>
      <c r="I108" s="78"/>
    </row>
    <row r="109" spans="1:9" ht="17.25" hidden="1" customHeight="1">
      <c r="A109" s="19"/>
      <c r="B109" s="10" t="s">
        <v>221</v>
      </c>
      <c r="C109" s="9" t="s">
        <v>4</v>
      </c>
      <c r="D109" s="11"/>
      <c r="E109" s="11">
        <v>3686.2979999999998</v>
      </c>
      <c r="F109" s="17"/>
      <c r="G109" s="12" t="e">
        <f t="shared" si="11"/>
        <v>#DIV/0!</v>
      </c>
      <c r="H109" s="64"/>
      <c r="I109" s="65"/>
    </row>
    <row r="110" spans="1:9" ht="36" hidden="1" customHeight="1">
      <c r="A110" s="19"/>
      <c r="B110" s="10" t="s">
        <v>222</v>
      </c>
      <c r="C110" s="9" t="s">
        <v>4</v>
      </c>
      <c r="D110" s="11"/>
      <c r="E110" s="11">
        <v>718.904</v>
      </c>
      <c r="F110" s="17"/>
      <c r="G110" s="12" t="e">
        <f t="shared" si="11"/>
        <v>#DIV/0!</v>
      </c>
      <c r="H110" s="64"/>
      <c r="I110" s="65"/>
    </row>
    <row r="111" spans="1:9" ht="17.25" hidden="1" customHeight="1">
      <c r="A111" s="19"/>
      <c r="B111" s="10" t="s">
        <v>223</v>
      </c>
      <c r="C111" s="9" t="s">
        <v>4</v>
      </c>
      <c r="D111" s="11"/>
      <c r="E111" s="11">
        <v>3.1720000000000002</v>
      </c>
      <c r="F111" s="17"/>
      <c r="G111" s="12" t="e">
        <f t="shared" si="11"/>
        <v>#DIV/0!</v>
      </c>
      <c r="H111" s="64"/>
      <c r="I111" s="65"/>
    </row>
    <row r="112" spans="1:9" ht="17.25" customHeight="1">
      <c r="A112" s="19" t="s">
        <v>250</v>
      </c>
      <c r="B112" s="10" t="s">
        <v>109</v>
      </c>
      <c r="C112" s="9" t="s">
        <v>4</v>
      </c>
      <c r="D112" s="11">
        <f t="shared" ref="D112:F112" si="22">D113+D114+D115</f>
        <v>432.35</v>
      </c>
      <c r="E112" s="11">
        <f t="shared" si="22"/>
        <v>432.35</v>
      </c>
      <c r="F112" s="17">
        <f t="shared" si="22"/>
        <v>0</v>
      </c>
      <c r="G112" s="12">
        <f t="shared" si="11"/>
        <v>0</v>
      </c>
      <c r="H112" s="64"/>
      <c r="I112" s="65"/>
    </row>
    <row r="113" spans="1:9" ht="36" hidden="1" customHeight="1">
      <c r="A113" s="9" t="s">
        <v>251</v>
      </c>
      <c r="B113" s="10" t="s">
        <v>241</v>
      </c>
      <c r="C113" s="9" t="s">
        <v>4</v>
      </c>
      <c r="D113" s="11">
        <v>0</v>
      </c>
      <c r="E113" s="11">
        <v>0</v>
      </c>
      <c r="F113" s="17">
        <f t="shared" ref="F113:F118" si="23">E113-D113</f>
        <v>0</v>
      </c>
      <c r="G113" s="12">
        <v>0</v>
      </c>
      <c r="H113" s="64"/>
      <c r="I113" s="65"/>
    </row>
    <row r="114" spans="1:9" ht="33.75" hidden="1" customHeight="1">
      <c r="A114" s="9" t="s">
        <v>252</v>
      </c>
      <c r="B114" s="10" t="s">
        <v>242</v>
      </c>
      <c r="C114" s="9" t="s">
        <v>4</v>
      </c>
      <c r="D114" s="11">
        <v>359.55</v>
      </c>
      <c r="E114" s="11">
        <v>359.55</v>
      </c>
      <c r="F114" s="17">
        <f t="shared" si="23"/>
        <v>0</v>
      </c>
      <c r="G114" s="12">
        <f t="shared" si="11"/>
        <v>0</v>
      </c>
      <c r="H114" s="64"/>
      <c r="I114" s="65"/>
    </row>
    <row r="115" spans="1:9" ht="17.25" hidden="1" customHeight="1">
      <c r="A115" s="9" t="s">
        <v>253</v>
      </c>
      <c r="B115" s="10" t="s">
        <v>110</v>
      </c>
      <c r="C115" s="9" t="s">
        <v>4</v>
      </c>
      <c r="D115" s="11">
        <v>72.8</v>
      </c>
      <c r="E115" s="11">
        <v>72.8</v>
      </c>
      <c r="F115" s="17">
        <f t="shared" si="23"/>
        <v>0</v>
      </c>
      <c r="G115" s="12">
        <f t="shared" si="11"/>
        <v>0</v>
      </c>
      <c r="H115" s="64"/>
      <c r="I115" s="65"/>
    </row>
    <row r="116" spans="1:9" ht="34.5" customHeight="1">
      <c r="A116" s="19" t="s">
        <v>254</v>
      </c>
      <c r="B116" s="10" t="s">
        <v>111</v>
      </c>
      <c r="C116" s="9" t="s">
        <v>4</v>
      </c>
      <c r="D116" s="11">
        <f>D117</f>
        <v>3877.53</v>
      </c>
      <c r="E116" s="11">
        <f>E117</f>
        <v>3806.1379999999999</v>
      </c>
      <c r="F116" s="17">
        <f t="shared" si="23"/>
        <v>-71.39200000000028</v>
      </c>
      <c r="G116" s="12">
        <f t="shared" si="11"/>
        <v>-1.8411720863539489</v>
      </c>
      <c r="H116" s="74" t="s">
        <v>306</v>
      </c>
      <c r="I116" s="75"/>
    </row>
    <row r="117" spans="1:9" ht="17.25" customHeight="1">
      <c r="A117" s="9"/>
      <c r="B117" s="27" t="s">
        <v>112</v>
      </c>
      <c r="C117" s="9" t="s">
        <v>113</v>
      </c>
      <c r="D117" s="11">
        <v>3877.53</v>
      </c>
      <c r="E117" s="11">
        <v>3806.1379999999999</v>
      </c>
      <c r="F117" s="17">
        <f t="shared" si="23"/>
        <v>-71.39200000000028</v>
      </c>
      <c r="G117" s="12">
        <f t="shared" si="11"/>
        <v>-1.8411720863539489</v>
      </c>
      <c r="H117" s="70" t="s">
        <v>299</v>
      </c>
      <c r="I117" s="71"/>
    </row>
    <row r="118" spans="1:9" ht="17.25" customHeight="1">
      <c r="A118" s="9"/>
      <c r="B118" s="13" t="s">
        <v>13</v>
      </c>
      <c r="C118" s="14" t="s">
        <v>114</v>
      </c>
      <c r="D118" s="11">
        <v>7755.0590000000002</v>
      </c>
      <c r="E118" s="11">
        <v>7612.2749999999996</v>
      </c>
      <c r="F118" s="17">
        <f t="shared" si="23"/>
        <v>-142.78400000000056</v>
      </c>
      <c r="G118" s="12">
        <f t="shared" si="11"/>
        <v>-1.8411723237695621</v>
      </c>
      <c r="H118" s="72"/>
      <c r="I118" s="73"/>
    </row>
    <row r="119" spans="1:9" ht="17.25" customHeight="1">
      <c r="A119" s="9"/>
      <c r="B119" s="13" t="s">
        <v>15</v>
      </c>
      <c r="C119" s="14" t="s">
        <v>16</v>
      </c>
      <c r="D119" s="11">
        <v>0.5</v>
      </c>
      <c r="E119" s="11">
        <v>0.5</v>
      </c>
      <c r="F119" s="17">
        <f>E119-D119</f>
        <v>0</v>
      </c>
      <c r="G119" s="12">
        <f t="shared" si="11"/>
        <v>0</v>
      </c>
      <c r="H119" s="64"/>
      <c r="I119" s="65"/>
    </row>
    <row r="120" spans="1:9" ht="17.25" customHeight="1">
      <c r="A120" s="19" t="s">
        <v>255</v>
      </c>
      <c r="B120" s="10" t="s">
        <v>115</v>
      </c>
      <c r="C120" s="9" t="s">
        <v>4</v>
      </c>
      <c r="D120" s="11">
        <v>11.2</v>
      </c>
      <c r="E120" s="11">
        <v>11.2</v>
      </c>
      <c r="F120" s="17">
        <f>E120-D120</f>
        <v>0</v>
      </c>
      <c r="G120" s="12">
        <f t="shared" si="11"/>
        <v>0</v>
      </c>
      <c r="H120" s="64"/>
      <c r="I120" s="65"/>
    </row>
    <row r="121" spans="1:9" ht="36" customHeight="1">
      <c r="A121" s="19" t="s">
        <v>256</v>
      </c>
      <c r="B121" s="10" t="s">
        <v>116</v>
      </c>
      <c r="C121" s="9" t="s">
        <v>4</v>
      </c>
      <c r="D121" s="11">
        <v>491.07100000000003</v>
      </c>
      <c r="E121" s="11">
        <v>491.07100000000003</v>
      </c>
      <c r="F121" s="17">
        <f t="shared" ref="F121:F132" si="24">E121-D121</f>
        <v>0</v>
      </c>
      <c r="G121" s="12">
        <f t="shared" si="11"/>
        <v>0</v>
      </c>
      <c r="H121" s="64"/>
      <c r="I121" s="65"/>
    </row>
    <row r="122" spans="1:9" ht="41.25" customHeight="1">
      <c r="A122" s="19" t="s">
        <v>257</v>
      </c>
      <c r="B122" s="10" t="s">
        <v>117</v>
      </c>
      <c r="C122" s="9" t="s">
        <v>4</v>
      </c>
      <c r="D122" s="11">
        <v>4844.6989999999996</v>
      </c>
      <c r="E122" s="11">
        <v>4621.4350000000004</v>
      </c>
      <c r="F122" s="17">
        <f t="shared" si="24"/>
        <v>-223.26399999999921</v>
      </c>
      <c r="G122" s="12">
        <f t="shared" si="11"/>
        <v>-4.6084183970975126</v>
      </c>
      <c r="H122" s="66" t="s">
        <v>302</v>
      </c>
      <c r="I122" s="67"/>
    </row>
    <row r="123" spans="1:9" ht="55.5" customHeight="1">
      <c r="A123" s="19" t="s">
        <v>258</v>
      </c>
      <c r="B123" s="10" t="s">
        <v>118</v>
      </c>
      <c r="C123" s="9" t="s">
        <v>4</v>
      </c>
      <c r="D123" s="11">
        <v>224.95</v>
      </c>
      <c r="E123" s="11">
        <v>224.95</v>
      </c>
      <c r="F123" s="17">
        <f t="shared" si="24"/>
        <v>0</v>
      </c>
      <c r="G123" s="12">
        <f t="shared" si="11"/>
        <v>0</v>
      </c>
      <c r="H123" s="64"/>
      <c r="I123" s="65"/>
    </row>
    <row r="124" spans="1:9" ht="17.25" customHeight="1">
      <c r="A124" s="19" t="s">
        <v>259</v>
      </c>
      <c r="B124" s="10" t="s">
        <v>119</v>
      </c>
      <c r="C124" s="9" t="s">
        <v>4</v>
      </c>
      <c r="D124" s="11">
        <v>473.74400000000003</v>
      </c>
      <c r="E124" s="11">
        <v>485.01600000000002</v>
      </c>
      <c r="F124" s="17">
        <f t="shared" si="24"/>
        <v>11.271999999999991</v>
      </c>
      <c r="G124" s="12">
        <f t="shared" si="11"/>
        <v>2.3793441183423938</v>
      </c>
      <c r="H124" s="64"/>
      <c r="I124" s="65"/>
    </row>
    <row r="125" spans="1:9" ht="54" customHeight="1">
      <c r="A125" s="19" t="s">
        <v>260</v>
      </c>
      <c r="B125" s="10" t="s">
        <v>120</v>
      </c>
      <c r="C125" s="9" t="s">
        <v>4</v>
      </c>
      <c r="D125" s="11">
        <v>318.21899999999999</v>
      </c>
      <c r="E125" s="11">
        <v>318.21899999999999</v>
      </c>
      <c r="F125" s="17">
        <f t="shared" si="24"/>
        <v>0</v>
      </c>
      <c r="G125" s="12">
        <f t="shared" si="11"/>
        <v>0</v>
      </c>
      <c r="H125" s="64"/>
      <c r="I125" s="65"/>
    </row>
    <row r="126" spans="1:9" ht="34.5" hidden="1" customHeight="1">
      <c r="A126" s="19" t="s">
        <v>121</v>
      </c>
      <c r="B126" s="10" t="s">
        <v>218</v>
      </c>
      <c r="C126" s="9" t="s">
        <v>4</v>
      </c>
      <c r="D126" s="11">
        <v>0</v>
      </c>
      <c r="E126" s="11">
        <v>0</v>
      </c>
      <c r="F126" s="17">
        <f t="shared" si="24"/>
        <v>0</v>
      </c>
      <c r="G126" s="12" t="e">
        <f t="shared" si="11"/>
        <v>#DIV/0!</v>
      </c>
      <c r="H126" s="64"/>
      <c r="I126" s="65"/>
    </row>
    <row r="127" spans="1:9" ht="33" customHeight="1">
      <c r="A127" s="19" t="s">
        <v>261</v>
      </c>
      <c r="B127" s="10" t="s">
        <v>264</v>
      </c>
      <c r="C127" s="9" t="s">
        <v>4</v>
      </c>
      <c r="D127" s="11">
        <v>70.400000000000006</v>
      </c>
      <c r="E127" s="11">
        <v>76.599999999999994</v>
      </c>
      <c r="F127" s="17">
        <f t="shared" si="24"/>
        <v>6.1999999999999886</v>
      </c>
      <c r="G127" s="12">
        <f t="shared" si="11"/>
        <v>8.8068181818181639</v>
      </c>
      <c r="H127" s="66" t="s">
        <v>290</v>
      </c>
      <c r="I127" s="67"/>
    </row>
    <row r="128" spans="1:9" ht="17.25" customHeight="1">
      <c r="A128" s="19" t="s">
        <v>262</v>
      </c>
      <c r="B128" s="10" t="s">
        <v>122</v>
      </c>
      <c r="C128" s="9" t="s">
        <v>4</v>
      </c>
      <c r="D128" s="11">
        <v>660</v>
      </c>
      <c r="E128" s="11">
        <v>660</v>
      </c>
      <c r="F128" s="17">
        <f t="shared" si="24"/>
        <v>0</v>
      </c>
      <c r="G128" s="12">
        <f t="shared" si="11"/>
        <v>0</v>
      </c>
      <c r="H128" s="64"/>
      <c r="I128" s="65"/>
    </row>
    <row r="129" spans="1:12" ht="54.75" customHeight="1">
      <c r="A129" s="19" t="s">
        <v>263</v>
      </c>
      <c r="B129" s="10" t="s">
        <v>123</v>
      </c>
      <c r="C129" s="9" t="s">
        <v>4</v>
      </c>
      <c r="D129" s="11">
        <v>748.71</v>
      </c>
      <c r="E129" s="11">
        <f>748.713-1.061-2.121-0.53</f>
        <v>745.00099999999998</v>
      </c>
      <c r="F129" s="17">
        <f t="shared" si="24"/>
        <v>-3.70900000000006</v>
      </c>
      <c r="G129" s="12">
        <f t="shared" si="11"/>
        <v>-0.49538539621483085</v>
      </c>
      <c r="H129" s="64"/>
      <c r="I129" s="65"/>
    </row>
    <row r="130" spans="1:12" ht="54" customHeight="1">
      <c r="A130" s="19" t="s">
        <v>265</v>
      </c>
      <c r="B130" s="10" t="s">
        <v>124</v>
      </c>
      <c r="C130" s="9" t="s">
        <v>4</v>
      </c>
      <c r="D130" s="11">
        <v>590</v>
      </c>
      <c r="E130" s="11">
        <v>590</v>
      </c>
      <c r="F130" s="17">
        <f t="shared" si="24"/>
        <v>0</v>
      </c>
      <c r="G130" s="12">
        <f t="shared" si="11"/>
        <v>0</v>
      </c>
      <c r="H130" s="64"/>
      <c r="I130" s="65"/>
    </row>
    <row r="131" spans="1:12" ht="17.25" customHeight="1">
      <c r="A131" s="19" t="s">
        <v>266</v>
      </c>
      <c r="B131" s="28" t="s">
        <v>125</v>
      </c>
      <c r="C131" s="9" t="s">
        <v>4</v>
      </c>
      <c r="D131" s="11">
        <v>59.82</v>
      </c>
      <c r="E131" s="11">
        <v>59.820999999999998</v>
      </c>
      <c r="F131" s="17">
        <f t="shared" si="24"/>
        <v>9.9999999999766942E-4</v>
      </c>
      <c r="G131" s="12">
        <f t="shared" si="11"/>
        <v>1.6716817117981768E-3</v>
      </c>
      <c r="H131" s="64"/>
      <c r="I131" s="65"/>
    </row>
    <row r="132" spans="1:12" ht="17.25" customHeight="1">
      <c r="A132" s="19" t="s">
        <v>267</v>
      </c>
      <c r="B132" s="28" t="s">
        <v>232</v>
      </c>
      <c r="C132" s="9" t="s">
        <v>4</v>
      </c>
      <c r="D132" s="11">
        <v>152.15</v>
      </c>
      <c r="E132" s="11">
        <v>152.14500000000001</v>
      </c>
      <c r="F132" s="17">
        <f t="shared" si="24"/>
        <v>-4.9999999999954525E-3</v>
      </c>
      <c r="G132" s="12">
        <f t="shared" si="11"/>
        <v>-3.2862306933916872E-3</v>
      </c>
      <c r="H132" s="64"/>
      <c r="I132" s="65"/>
    </row>
    <row r="133" spans="1:12" ht="17.25" customHeight="1">
      <c r="A133" s="36" t="s">
        <v>126</v>
      </c>
      <c r="B133" s="6" t="s">
        <v>127</v>
      </c>
      <c r="C133" s="9" t="s">
        <v>4</v>
      </c>
      <c r="D133" s="7">
        <f t="shared" ref="D133:E133" si="25">D134</f>
        <v>29199.024000000005</v>
      </c>
      <c r="E133" s="7">
        <f t="shared" si="25"/>
        <v>29103.808000000005</v>
      </c>
      <c r="F133" s="22">
        <f>E133-D133</f>
        <v>-95.216000000000349</v>
      </c>
      <c r="G133" s="12">
        <f t="shared" si="11"/>
        <v>-0.32609309133072506</v>
      </c>
      <c r="H133" s="64"/>
      <c r="I133" s="65"/>
      <c r="J133" s="32"/>
      <c r="L133" s="32"/>
    </row>
    <row r="134" spans="1:12" ht="17.25" customHeight="1">
      <c r="A134" s="36">
        <v>6</v>
      </c>
      <c r="B134" s="6" t="s">
        <v>128</v>
      </c>
      <c r="C134" s="36" t="s">
        <v>4</v>
      </c>
      <c r="D134" s="7">
        <f>D135+D140+D141+D142+D143+D146+D148+D164+D168+D169+D170+D175+D174+D179</f>
        <v>29199.024000000005</v>
      </c>
      <c r="E134" s="7">
        <f>E135+E140+E141+E142+E143+E146+E148+E164+E168+E169+E170+E175+E174+E179</f>
        <v>29103.808000000005</v>
      </c>
      <c r="F134" s="22">
        <f>E134-D134</f>
        <v>-95.216000000000349</v>
      </c>
      <c r="G134" s="12">
        <f t="shared" si="11"/>
        <v>-0.32609309133072506</v>
      </c>
      <c r="H134" s="64"/>
      <c r="I134" s="65"/>
      <c r="J134" s="32"/>
    </row>
    <row r="135" spans="1:12" ht="17.25" customHeight="1">
      <c r="A135" s="36" t="s">
        <v>129</v>
      </c>
      <c r="B135" s="6" t="s">
        <v>130</v>
      </c>
      <c r="C135" s="36" t="s">
        <v>4</v>
      </c>
      <c r="D135" s="7">
        <f t="shared" ref="D135:E135" si="26">D136+D137</f>
        <v>1114.92</v>
      </c>
      <c r="E135" s="7">
        <f t="shared" si="26"/>
        <v>1083.346</v>
      </c>
      <c r="F135" s="22">
        <f>E135-D135</f>
        <v>-31.574000000000069</v>
      </c>
      <c r="G135" s="12">
        <f t="shared" si="11"/>
        <v>-2.8319520683098398</v>
      </c>
      <c r="H135" s="64"/>
      <c r="I135" s="65"/>
      <c r="J135" s="32"/>
    </row>
    <row r="136" spans="1:12" ht="37.5" hidden="1">
      <c r="A136" s="9" t="s">
        <v>131</v>
      </c>
      <c r="B136" s="10" t="s">
        <v>132</v>
      </c>
      <c r="C136" s="9" t="s">
        <v>4</v>
      </c>
      <c r="D136" s="11">
        <v>454.24799999999999</v>
      </c>
      <c r="E136" s="11">
        <v>453.93200000000002</v>
      </c>
      <c r="F136" s="17">
        <f t="shared" ref="F136:F137" si="27">E136-D136</f>
        <v>-0.31599999999997408</v>
      </c>
      <c r="G136" s="12">
        <f t="shared" si="11"/>
        <v>-6.9565523678689622E-2</v>
      </c>
      <c r="H136" s="64"/>
      <c r="I136" s="65"/>
      <c r="J136" s="32"/>
    </row>
    <row r="137" spans="1:12" ht="17.25" hidden="1" customHeight="1">
      <c r="A137" s="9" t="s">
        <v>133</v>
      </c>
      <c r="B137" s="10" t="s">
        <v>63</v>
      </c>
      <c r="C137" s="9" t="s">
        <v>4</v>
      </c>
      <c r="D137" s="11">
        <v>660.67200000000003</v>
      </c>
      <c r="E137" s="11">
        <v>629.41399999999999</v>
      </c>
      <c r="F137" s="17">
        <f t="shared" si="27"/>
        <v>-31.258000000000038</v>
      </c>
      <c r="G137" s="12">
        <f t="shared" ref="G137:G200" si="28">F137/D137*100</f>
        <v>-4.7312433401143137</v>
      </c>
      <c r="H137" s="64"/>
      <c r="I137" s="65"/>
      <c r="J137" s="32"/>
    </row>
    <row r="138" spans="1:12" ht="17.25" hidden="1" customHeight="1">
      <c r="A138" s="9"/>
      <c r="B138" s="13" t="s">
        <v>68</v>
      </c>
      <c r="C138" s="23" t="s">
        <v>66</v>
      </c>
      <c r="D138" s="15">
        <v>33800</v>
      </c>
      <c r="E138" s="15">
        <v>33800</v>
      </c>
      <c r="F138" s="15">
        <f>E138-D138</f>
        <v>0</v>
      </c>
      <c r="G138" s="12">
        <f t="shared" si="28"/>
        <v>0</v>
      </c>
      <c r="H138" s="64"/>
      <c r="I138" s="65"/>
      <c r="J138" s="32"/>
    </row>
    <row r="139" spans="1:12" ht="17.25" hidden="1" customHeight="1">
      <c r="A139" s="9"/>
      <c r="B139" s="13" t="s">
        <v>15</v>
      </c>
      <c r="C139" s="14" t="s">
        <v>16</v>
      </c>
      <c r="D139" s="17">
        <f t="shared" ref="D139:E139" si="29">D137/D138*1000</f>
        <v>19.546508875739644</v>
      </c>
      <c r="E139" s="17">
        <f t="shared" si="29"/>
        <v>18.621715976331359</v>
      </c>
      <c r="F139" s="17">
        <f>E139-D139</f>
        <v>-0.9247928994082848</v>
      </c>
      <c r="G139" s="12">
        <f t="shared" si="28"/>
        <v>-4.7312433401143119</v>
      </c>
      <c r="H139" s="64"/>
      <c r="I139" s="65"/>
      <c r="J139" s="32"/>
    </row>
    <row r="140" spans="1:12" ht="32.25" customHeight="1">
      <c r="A140" s="9" t="s">
        <v>134</v>
      </c>
      <c r="B140" s="10" t="s">
        <v>135</v>
      </c>
      <c r="C140" s="9" t="s">
        <v>4</v>
      </c>
      <c r="D140" s="11">
        <v>14992.42</v>
      </c>
      <c r="E140" s="11">
        <f>12625.916+233.463-233.463+2366.5</f>
        <v>14992.415999999999</v>
      </c>
      <c r="F140" s="17">
        <f>E140-D140</f>
        <v>-4.0000000008149073E-3</v>
      </c>
      <c r="G140" s="12">
        <f t="shared" si="28"/>
        <v>-2.6680149040747973E-5</v>
      </c>
      <c r="H140" s="74"/>
      <c r="I140" s="75"/>
      <c r="J140" s="32"/>
    </row>
    <row r="141" spans="1:12" ht="17.25" customHeight="1">
      <c r="A141" s="9" t="s">
        <v>136</v>
      </c>
      <c r="B141" s="10" t="s">
        <v>77</v>
      </c>
      <c r="C141" s="9" t="s">
        <v>4</v>
      </c>
      <c r="D141" s="11">
        <v>1494.49</v>
      </c>
      <c r="E141" s="11">
        <f>1272.638+118.325+141.99</f>
        <v>1532.953</v>
      </c>
      <c r="F141" s="17">
        <f t="shared" ref="F141:F163" si="30">E141-D141</f>
        <v>38.462999999999965</v>
      </c>
      <c r="G141" s="12">
        <f t="shared" si="28"/>
        <v>2.5736538886175193</v>
      </c>
      <c r="H141" s="74"/>
      <c r="I141" s="75"/>
      <c r="J141" s="32"/>
    </row>
    <row r="142" spans="1:12" ht="17.25" customHeight="1">
      <c r="A142" s="9" t="s">
        <v>137</v>
      </c>
      <c r="B142" s="10" t="s">
        <v>138</v>
      </c>
      <c r="C142" s="9" t="s">
        <v>4</v>
      </c>
      <c r="D142" s="11">
        <v>930.96</v>
      </c>
      <c r="E142" s="11">
        <f>371.825+411.7</f>
        <v>783.52499999999998</v>
      </c>
      <c r="F142" s="17">
        <f t="shared" si="30"/>
        <v>-147.43500000000006</v>
      </c>
      <c r="G142" s="12">
        <f t="shared" si="28"/>
        <v>-15.836878061356025</v>
      </c>
      <c r="H142" s="74" t="s">
        <v>303</v>
      </c>
      <c r="I142" s="75"/>
      <c r="J142" s="32"/>
    </row>
    <row r="143" spans="1:12" ht="17.25" customHeight="1">
      <c r="A143" s="36" t="s">
        <v>139</v>
      </c>
      <c r="B143" s="6" t="s">
        <v>140</v>
      </c>
      <c r="C143" s="36" t="s">
        <v>4</v>
      </c>
      <c r="D143" s="7">
        <f t="shared" ref="D143:F143" si="31">D144+D145</f>
        <v>546.32000000000005</v>
      </c>
      <c r="E143" s="7">
        <f t="shared" si="31"/>
        <v>546.31200000000001</v>
      </c>
      <c r="F143" s="22">
        <f t="shared" si="31"/>
        <v>-7.9999999999813554E-3</v>
      </c>
      <c r="G143" s="12">
        <f t="shared" si="28"/>
        <v>-1.4643432420525251E-3</v>
      </c>
      <c r="H143" s="64"/>
      <c r="I143" s="65"/>
      <c r="J143" s="32"/>
    </row>
    <row r="144" spans="1:12" ht="17.25" hidden="1" customHeight="1">
      <c r="A144" s="9" t="s">
        <v>141</v>
      </c>
      <c r="B144" s="10" t="s">
        <v>81</v>
      </c>
      <c r="C144" s="9" t="s">
        <v>4</v>
      </c>
      <c r="D144" s="11">
        <v>402.61</v>
      </c>
      <c r="E144" s="11">
        <v>402.60700000000003</v>
      </c>
      <c r="F144" s="17">
        <f t="shared" si="30"/>
        <v>-2.9999999999859028E-3</v>
      </c>
      <c r="G144" s="12">
        <f t="shared" si="28"/>
        <v>-7.4513797471148328E-4</v>
      </c>
      <c r="H144" s="64"/>
      <c r="I144" s="65"/>
      <c r="J144" s="32"/>
    </row>
    <row r="145" spans="1:10" ht="17.25" hidden="1" customHeight="1">
      <c r="A145" s="9" t="s">
        <v>142</v>
      </c>
      <c r="B145" s="10" t="s">
        <v>143</v>
      </c>
      <c r="C145" s="9"/>
      <c r="D145" s="11">
        <v>143.71</v>
      </c>
      <c r="E145" s="11">
        <v>143.70500000000001</v>
      </c>
      <c r="F145" s="17">
        <f t="shared" si="30"/>
        <v>-4.9999999999954525E-3</v>
      </c>
      <c r="G145" s="12">
        <f t="shared" si="28"/>
        <v>-3.4792290028498032E-3</v>
      </c>
      <c r="H145" s="64"/>
      <c r="I145" s="65"/>
      <c r="J145" s="32"/>
    </row>
    <row r="146" spans="1:10" ht="69.75" customHeight="1">
      <c r="A146" s="36" t="s">
        <v>144</v>
      </c>
      <c r="B146" s="6" t="s">
        <v>145</v>
      </c>
      <c r="C146" s="36" t="s">
        <v>4</v>
      </c>
      <c r="D146" s="7">
        <f t="shared" ref="D146:F146" si="32">D147</f>
        <v>224.99</v>
      </c>
      <c r="E146" s="7">
        <f t="shared" si="32"/>
        <v>224.88200000000001</v>
      </c>
      <c r="F146" s="22">
        <f t="shared" si="32"/>
        <v>-0.10800000000000409</v>
      </c>
      <c r="G146" s="12">
        <f t="shared" si="28"/>
        <v>-4.8002133428154181E-2</v>
      </c>
      <c r="H146" s="64"/>
      <c r="I146" s="65"/>
      <c r="J146" s="32"/>
    </row>
    <row r="147" spans="1:10" ht="17.25" customHeight="1">
      <c r="A147" s="9" t="s">
        <v>146</v>
      </c>
      <c r="B147" s="10" t="s">
        <v>147</v>
      </c>
      <c r="C147" s="9" t="s">
        <v>4</v>
      </c>
      <c r="D147" s="11">
        <v>224.99</v>
      </c>
      <c r="E147" s="11">
        <v>224.88200000000001</v>
      </c>
      <c r="F147" s="17">
        <f t="shared" si="30"/>
        <v>-0.10800000000000409</v>
      </c>
      <c r="G147" s="12">
        <f t="shared" si="28"/>
        <v>-4.8002133428154181E-2</v>
      </c>
      <c r="H147" s="64"/>
      <c r="I147" s="65"/>
      <c r="J147" s="32"/>
    </row>
    <row r="148" spans="1:10" ht="18" customHeight="1">
      <c r="A148" s="36" t="s">
        <v>148</v>
      </c>
      <c r="B148" s="6" t="s">
        <v>149</v>
      </c>
      <c r="C148" s="36" t="s">
        <v>4</v>
      </c>
      <c r="D148" s="29">
        <f t="shared" ref="D148:F148" si="33">D149+D152+D155+D158+D161</f>
        <v>810.95999999999992</v>
      </c>
      <c r="E148" s="29">
        <f t="shared" si="33"/>
        <v>786.06000000000006</v>
      </c>
      <c r="F148" s="22">
        <f t="shared" si="33"/>
        <v>-24.90000000000002</v>
      </c>
      <c r="G148" s="12">
        <f t="shared" si="28"/>
        <v>-3.0704350399526517</v>
      </c>
      <c r="H148" s="64"/>
      <c r="I148" s="65"/>
      <c r="J148" s="32"/>
    </row>
    <row r="149" spans="1:10" ht="17.25" hidden="1" customHeight="1">
      <c r="A149" s="9" t="s">
        <v>150</v>
      </c>
      <c r="B149" s="10" t="s">
        <v>151</v>
      </c>
      <c r="C149" s="9" t="s">
        <v>4</v>
      </c>
      <c r="D149" s="11">
        <v>652.37</v>
      </c>
      <c r="E149" s="11">
        <v>628.81799999999998</v>
      </c>
      <c r="F149" s="17">
        <f t="shared" si="30"/>
        <v>-23.552000000000021</v>
      </c>
      <c r="G149" s="12">
        <f t="shared" si="28"/>
        <v>-3.6102211934944921</v>
      </c>
      <c r="H149" s="64"/>
      <c r="I149" s="65"/>
      <c r="J149" s="32"/>
    </row>
    <row r="150" spans="1:10" ht="17.25" hidden="1" customHeight="1">
      <c r="A150" s="9"/>
      <c r="B150" s="30" t="s">
        <v>13</v>
      </c>
      <c r="C150" s="9" t="s">
        <v>152</v>
      </c>
      <c r="D150" s="11">
        <v>139.31100000000001</v>
      </c>
      <c r="E150" s="17">
        <v>134.28</v>
      </c>
      <c r="F150" s="17">
        <f t="shared" si="30"/>
        <v>-5.0310000000000059</v>
      </c>
      <c r="G150" s="12">
        <f t="shared" si="28"/>
        <v>-3.6113444020931627</v>
      </c>
      <c r="H150" s="64"/>
      <c r="I150" s="65"/>
      <c r="J150" s="32"/>
    </row>
    <row r="151" spans="1:10" ht="17.25" hidden="1" customHeight="1">
      <c r="A151" s="9"/>
      <c r="B151" s="30" t="s">
        <v>15</v>
      </c>
      <c r="C151" s="9" t="s">
        <v>16</v>
      </c>
      <c r="D151" s="11">
        <f>D149/D150*1000</f>
        <v>4682.8319371765328</v>
      </c>
      <c r="E151" s="17">
        <f>E149/E150*1000</f>
        <v>4682.8865058087576</v>
      </c>
      <c r="F151" s="17">
        <f t="shared" si="30"/>
        <v>5.456863222480024E-2</v>
      </c>
      <c r="G151" s="12">
        <f t="shared" si="28"/>
        <v>1.1652912800817245E-3</v>
      </c>
      <c r="H151" s="64"/>
      <c r="I151" s="65"/>
      <c r="J151" s="32"/>
    </row>
    <row r="152" spans="1:10" ht="17.25" hidden="1" customHeight="1">
      <c r="A152" s="9" t="s">
        <v>153</v>
      </c>
      <c r="B152" s="10" t="s">
        <v>154</v>
      </c>
      <c r="C152" s="9" t="s">
        <v>4</v>
      </c>
      <c r="D152" s="11">
        <v>5.8040000000000003</v>
      </c>
      <c r="E152" s="11">
        <v>5.8040000000000003</v>
      </c>
      <c r="F152" s="17">
        <f t="shared" si="30"/>
        <v>0</v>
      </c>
      <c r="G152" s="12">
        <f t="shared" si="28"/>
        <v>0</v>
      </c>
      <c r="H152" s="64"/>
      <c r="I152" s="65"/>
      <c r="J152" s="32"/>
    </row>
    <row r="153" spans="1:10" ht="17.25" hidden="1" customHeight="1">
      <c r="A153" s="9"/>
      <c r="B153" s="30" t="s">
        <v>13</v>
      </c>
      <c r="C153" s="9" t="s">
        <v>155</v>
      </c>
      <c r="D153" s="11">
        <v>5</v>
      </c>
      <c r="E153" s="15">
        <v>5</v>
      </c>
      <c r="F153" s="17">
        <f t="shared" si="30"/>
        <v>0</v>
      </c>
      <c r="G153" s="12">
        <f t="shared" si="28"/>
        <v>0</v>
      </c>
      <c r="H153" s="64"/>
      <c r="I153" s="65"/>
      <c r="J153" s="32"/>
    </row>
    <row r="154" spans="1:10" ht="17.25" hidden="1" customHeight="1">
      <c r="A154" s="9"/>
      <c r="B154" s="30" t="s">
        <v>15</v>
      </c>
      <c r="C154" s="9" t="s">
        <v>16</v>
      </c>
      <c r="D154" s="17">
        <f>D152/D153*1000</f>
        <v>1160.8</v>
      </c>
      <c r="E154" s="17">
        <f>E152/E153*1000</f>
        <v>1160.8</v>
      </c>
      <c r="F154" s="17">
        <f t="shared" si="30"/>
        <v>0</v>
      </c>
      <c r="G154" s="12">
        <f t="shared" si="28"/>
        <v>0</v>
      </c>
      <c r="H154" s="64"/>
      <c r="I154" s="65"/>
      <c r="J154" s="32"/>
    </row>
    <row r="155" spans="1:10" ht="17.25" hidden="1" customHeight="1">
      <c r="A155" s="9" t="s">
        <v>156</v>
      </c>
      <c r="B155" s="10" t="s">
        <v>157</v>
      </c>
      <c r="C155" s="9" t="s">
        <v>4</v>
      </c>
      <c r="D155" s="11">
        <v>22.04</v>
      </c>
      <c r="E155" s="11">
        <v>21.141999999999999</v>
      </c>
      <c r="F155" s="17">
        <f t="shared" si="30"/>
        <v>-0.89799999999999969</v>
      </c>
      <c r="G155" s="12">
        <f t="shared" si="28"/>
        <v>-4.0744101633393814</v>
      </c>
      <c r="H155" s="64"/>
      <c r="I155" s="65"/>
      <c r="J155" s="32"/>
    </row>
    <row r="156" spans="1:10" ht="17.25" hidden="1" customHeight="1">
      <c r="A156" s="9"/>
      <c r="B156" s="30" t="s">
        <v>13</v>
      </c>
      <c r="C156" s="9" t="s">
        <v>155</v>
      </c>
      <c r="D156" s="15">
        <v>190</v>
      </c>
      <c r="E156" s="15">
        <v>182</v>
      </c>
      <c r="F156" s="17">
        <f t="shared" si="30"/>
        <v>-8</v>
      </c>
      <c r="G156" s="12">
        <f t="shared" si="28"/>
        <v>-4.2105263157894735</v>
      </c>
      <c r="H156" s="64"/>
      <c r="I156" s="65"/>
      <c r="J156" s="32"/>
    </row>
    <row r="157" spans="1:10" ht="17.25" hidden="1" customHeight="1">
      <c r="A157" s="9"/>
      <c r="B157" s="30" t="s">
        <v>15</v>
      </c>
      <c r="C157" s="9" t="s">
        <v>16</v>
      </c>
      <c r="D157" s="17">
        <f>D155/D156*1000</f>
        <v>115.99999999999999</v>
      </c>
      <c r="E157" s="17">
        <f>E155/E156*1000</f>
        <v>116.16483516483517</v>
      </c>
      <c r="F157" s="17">
        <f t="shared" si="30"/>
        <v>0.16483516483518201</v>
      </c>
      <c r="G157" s="12">
        <f t="shared" si="28"/>
        <v>0.14209928003032932</v>
      </c>
      <c r="H157" s="64"/>
      <c r="I157" s="65"/>
      <c r="J157" s="32"/>
    </row>
    <row r="158" spans="1:10" ht="17.25" hidden="1" customHeight="1">
      <c r="A158" s="9" t="s">
        <v>158</v>
      </c>
      <c r="B158" s="10" t="s">
        <v>159</v>
      </c>
      <c r="C158" s="9" t="s">
        <v>4</v>
      </c>
      <c r="D158" s="11">
        <v>120</v>
      </c>
      <c r="E158" s="11">
        <v>120</v>
      </c>
      <c r="F158" s="17">
        <f t="shared" si="30"/>
        <v>0</v>
      </c>
      <c r="G158" s="12">
        <f t="shared" si="28"/>
        <v>0</v>
      </c>
      <c r="H158" s="64"/>
      <c r="I158" s="65"/>
      <c r="J158" s="32"/>
    </row>
    <row r="159" spans="1:10" ht="17.25" hidden="1" customHeight="1">
      <c r="A159" s="9"/>
      <c r="B159" s="30" t="s">
        <v>13</v>
      </c>
      <c r="C159" s="9" t="s">
        <v>155</v>
      </c>
      <c r="D159" s="15">
        <v>120</v>
      </c>
      <c r="E159" s="15">
        <v>120</v>
      </c>
      <c r="F159" s="17">
        <f t="shared" si="30"/>
        <v>0</v>
      </c>
      <c r="G159" s="12">
        <f t="shared" si="28"/>
        <v>0</v>
      </c>
      <c r="H159" s="64"/>
      <c r="I159" s="65"/>
      <c r="J159" s="32"/>
    </row>
    <row r="160" spans="1:10" ht="17.25" hidden="1" customHeight="1">
      <c r="A160" s="9"/>
      <c r="B160" s="30" t="s">
        <v>15</v>
      </c>
      <c r="C160" s="9" t="s">
        <v>16</v>
      </c>
      <c r="D160" s="17">
        <f>D158/D159*1000</f>
        <v>1000</v>
      </c>
      <c r="E160" s="17">
        <f>E158/E159*1000</f>
        <v>1000</v>
      </c>
      <c r="F160" s="17">
        <f t="shared" si="30"/>
        <v>0</v>
      </c>
      <c r="G160" s="12">
        <f t="shared" si="28"/>
        <v>0</v>
      </c>
      <c r="H160" s="64"/>
      <c r="I160" s="65"/>
      <c r="J160" s="32"/>
    </row>
    <row r="161" spans="1:10" ht="17.25" hidden="1" customHeight="1">
      <c r="A161" s="9" t="s">
        <v>158</v>
      </c>
      <c r="B161" s="10" t="s">
        <v>224</v>
      </c>
      <c r="C161" s="9" t="s">
        <v>4</v>
      </c>
      <c r="D161" s="11">
        <v>10.746</v>
      </c>
      <c r="E161" s="11">
        <v>10.295999999999999</v>
      </c>
      <c r="F161" s="17">
        <f t="shared" si="30"/>
        <v>-0.45000000000000107</v>
      </c>
      <c r="G161" s="12">
        <f t="shared" si="28"/>
        <v>-4.1876046901172632</v>
      </c>
      <c r="H161" s="64"/>
      <c r="I161" s="65"/>
      <c r="J161" s="32"/>
    </row>
    <row r="162" spans="1:10" ht="17.25" hidden="1" customHeight="1">
      <c r="A162" s="9"/>
      <c r="B162" s="30" t="s">
        <v>13</v>
      </c>
      <c r="C162" s="9" t="s">
        <v>155</v>
      </c>
      <c r="D162" s="15">
        <v>190</v>
      </c>
      <c r="E162" s="15">
        <v>182</v>
      </c>
      <c r="F162" s="17">
        <f t="shared" si="30"/>
        <v>-8</v>
      </c>
      <c r="G162" s="12">
        <f t="shared" si="28"/>
        <v>-4.2105263157894735</v>
      </c>
      <c r="H162" s="64"/>
      <c r="I162" s="65"/>
      <c r="J162" s="32"/>
    </row>
    <row r="163" spans="1:10" ht="17.25" hidden="1" customHeight="1">
      <c r="A163" s="9"/>
      <c r="B163" s="30" t="s">
        <v>15</v>
      </c>
      <c r="C163" s="9" t="s">
        <v>16</v>
      </c>
      <c r="D163" s="17">
        <f>D161/D162*1000</f>
        <v>56.557894736842108</v>
      </c>
      <c r="E163" s="17">
        <f>E161/E162*1000</f>
        <v>56.571428571428569</v>
      </c>
      <c r="F163" s="17">
        <f t="shared" si="30"/>
        <v>1.3533834586461069E-2</v>
      </c>
      <c r="G163" s="12">
        <f t="shared" si="28"/>
        <v>2.392916965780386E-2</v>
      </c>
      <c r="H163" s="64"/>
      <c r="I163" s="65"/>
      <c r="J163" s="32"/>
    </row>
    <row r="164" spans="1:10" ht="17.25" customHeight="1">
      <c r="A164" s="17" t="s">
        <v>160</v>
      </c>
      <c r="B164" s="10" t="s">
        <v>108</v>
      </c>
      <c r="C164" s="9" t="s">
        <v>4</v>
      </c>
      <c r="D164" s="11">
        <v>669.68700000000001</v>
      </c>
      <c r="E164" s="11">
        <f>E165+E166+E167</f>
        <v>703.10200000000009</v>
      </c>
      <c r="F164" s="17">
        <f>E164-D164</f>
        <v>33.415000000000077</v>
      </c>
      <c r="G164" s="12">
        <f t="shared" si="28"/>
        <v>4.9896444159734443</v>
      </c>
      <c r="H164" s="64"/>
      <c r="I164" s="65"/>
      <c r="J164" s="32"/>
    </row>
    <row r="165" spans="1:10" ht="17.25" hidden="1" customHeight="1">
      <c r="A165" s="17"/>
      <c r="B165" s="10" t="s">
        <v>221</v>
      </c>
      <c r="C165" s="9" t="s">
        <v>4</v>
      </c>
      <c r="D165" s="11"/>
      <c r="E165" s="11">
        <v>589.63800000000003</v>
      </c>
      <c r="F165" s="17"/>
      <c r="G165" s="12"/>
      <c r="H165" s="64"/>
      <c r="I165" s="65"/>
      <c r="J165" s="32"/>
    </row>
    <row r="166" spans="1:10" ht="37.5" hidden="1">
      <c r="A166" s="17"/>
      <c r="B166" s="10" t="s">
        <v>222</v>
      </c>
      <c r="C166" s="9" t="s">
        <v>4</v>
      </c>
      <c r="D166" s="11"/>
      <c r="E166" s="11">
        <v>113.464</v>
      </c>
      <c r="F166" s="17"/>
      <c r="G166" s="12"/>
      <c r="H166" s="64"/>
      <c r="I166" s="65"/>
      <c r="J166" s="32"/>
    </row>
    <row r="167" spans="1:10" ht="18.75" hidden="1">
      <c r="A167" s="17"/>
      <c r="B167" s="10" t="s">
        <v>223</v>
      </c>
      <c r="C167" s="9" t="s">
        <v>4</v>
      </c>
      <c r="D167" s="11"/>
      <c r="E167" s="11"/>
      <c r="F167" s="17"/>
      <c r="G167" s="12"/>
      <c r="H167" s="64"/>
      <c r="I167" s="65"/>
      <c r="J167" s="32"/>
    </row>
    <row r="168" spans="1:10" ht="18.75">
      <c r="A168" s="17" t="s">
        <v>161</v>
      </c>
      <c r="B168" s="10" t="s">
        <v>162</v>
      </c>
      <c r="C168" s="9" t="s">
        <v>4</v>
      </c>
      <c r="D168" s="11">
        <v>680.3</v>
      </c>
      <c r="E168" s="11">
        <f>714.356-34</f>
        <v>680.35599999999999</v>
      </c>
      <c r="F168" s="17">
        <f t="shared" ref="F168" si="34">E168-D168</f>
        <v>5.6000000000040018E-2</v>
      </c>
      <c r="G168" s="12">
        <f t="shared" si="28"/>
        <v>8.2316625018433072E-3</v>
      </c>
      <c r="H168" s="64"/>
      <c r="I168" s="65"/>
      <c r="J168" s="32"/>
    </row>
    <row r="169" spans="1:10" ht="35.25" customHeight="1">
      <c r="A169" s="17" t="s">
        <v>163</v>
      </c>
      <c r="B169" s="10" t="s">
        <v>165</v>
      </c>
      <c r="C169" s="9" t="s">
        <v>4</v>
      </c>
      <c r="D169" s="11">
        <v>0</v>
      </c>
      <c r="E169" s="11">
        <v>0</v>
      </c>
      <c r="F169" s="17">
        <v>0</v>
      </c>
      <c r="G169" s="12"/>
      <c r="H169" s="64"/>
      <c r="I169" s="65"/>
      <c r="J169" s="32"/>
    </row>
    <row r="170" spans="1:10" ht="17.25" customHeight="1">
      <c r="A170" s="17" t="s">
        <v>164</v>
      </c>
      <c r="B170" s="6" t="s">
        <v>169</v>
      </c>
      <c r="C170" s="36" t="s">
        <v>4</v>
      </c>
      <c r="D170" s="7">
        <f t="shared" ref="D170:F170" si="35">D171+D172+D173</f>
        <v>3629.2890000000002</v>
      </c>
      <c r="E170" s="7">
        <f t="shared" si="35"/>
        <v>3516.3780000000002</v>
      </c>
      <c r="F170" s="22">
        <f t="shared" si="35"/>
        <v>-112.91099999999994</v>
      </c>
      <c r="G170" s="12">
        <f t="shared" si="28"/>
        <v>-3.111105233008447</v>
      </c>
      <c r="H170" s="74" t="s">
        <v>304</v>
      </c>
      <c r="I170" s="75"/>
      <c r="J170" s="32"/>
    </row>
    <row r="171" spans="1:10" ht="17.25" hidden="1" customHeight="1">
      <c r="A171" s="9" t="s">
        <v>166</v>
      </c>
      <c r="B171" s="10" t="s">
        <v>170</v>
      </c>
      <c r="C171" s="9" t="s">
        <v>4</v>
      </c>
      <c r="D171" s="11">
        <v>654.61</v>
      </c>
      <c r="E171" s="11">
        <v>678.90200000000004</v>
      </c>
      <c r="F171" s="17">
        <f t="shared" ref="F171:F174" si="36">E171-D171</f>
        <v>24.29200000000003</v>
      </c>
      <c r="G171" s="12">
        <f t="shared" si="28"/>
        <v>3.7109118406379413</v>
      </c>
      <c r="H171" s="64"/>
      <c r="I171" s="65"/>
      <c r="J171" s="32"/>
    </row>
    <row r="172" spans="1:10" ht="17.25" hidden="1" customHeight="1">
      <c r="A172" s="9" t="s">
        <v>167</v>
      </c>
      <c r="B172" s="10" t="s">
        <v>171</v>
      </c>
      <c r="C172" s="9" t="s">
        <v>4</v>
      </c>
      <c r="D172" s="11">
        <v>2021.7280000000001</v>
      </c>
      <c r="E172" s="11">
        <v>1938.2840000000001</v>
      </c>
      <c r="F172" s="17">
        <f t="shared" si="36"/>
        <v>-83.44399999999996</v>
      </c>
      <c r="G172" s="12">
        <f t="shared" si="28"/>
        <v>-4.1273603570806738</v>
      </c>
      <c r="H172" s="64"/>
      <c r="I172" s="65"/>
      <c r="J172" s="32"/>
    </row>
    <row r="173" spans="1:10" ht="17.25" hidden="1" customHeight="1">
      <c r="A173" s="9" t="s">
        <v>269</v>
      </c>
      <c r="B173" s="10" t="s">
        <v>172</v>
      </c>
      <c r="C173" s="9" t="s">
        <v>4</v>
      </c>
      <c r="D173" s="11">
        <v>952.95100000000002</v>
      </c>
      <c r="E173" s="11">
        <v>899.19200000000001</v>
      </c>
      <c r="F173" s="17">
        <f t="shared" si="36"/>
        <v>-53.759000000000015</v>
      </c>
      <c r="G173" s="12">
        <f t="shared" si="28"/>
        <v>-5.6413183888783385</v>
      </c>
      <c r="H173" s="64"/>
      <c r="I173" s="65"/>
      <c r="J173" s="32"/>
    </row>
    <row r="174" spans="1:10" ht="51" customHeight="1">
      <c r="A174" s="9" t="s">
        <v>168</v>
      </c>
      <c r="B174" s="10" t="s">
        <v>174</v>
      </c>
      <c r="C174" s="9" t="s">
        <v>4</v>
      </c>
      <c r="D174" s="11">
        <v>825.99</v>
      </c>
      <c r="E174" s="11">
        <v>810.78300000000002</v>
      </c>
      <c r="F174" s="17">
        <f t="shared" si="36"/>
        <v>-15.206999999999994</v>
      </c>
      <c r="G174" s="12">
        <f t="shared" si="28"/>
        <v>-1.8410634511313688</v>
      </c>
      <c r="H174" s="74" t="s">
        <v>306</v>
      </c>
      <c r="I174" s="75"/>
      <c r="J174" s="32"/>
    </row>
    <row r="175" spans="1:10" ht="29.25" customHeight="1">
      <c r="A175" s="36" t="s">
        <v>173</v>
      </c>
      <c r="B175" s="6" t="s">
        <v>176</v>
      </c>
      <c r="C175" s="36" t="s">
        <v>4</v>
      </c>
      <c r="D175" s="7">
        <f t="shared" ref="D175:F175" si="37">D176+D177+D178</f>
        <v>704.80899999999997</v>
      </c>
      <c r="E175" s="7">
        <f t="shared" si="37"/>
        <v>888.13000000000011</v>
      </c>
      <c r="F175" s="22">
        <f t="shared" si="37"/>
        <v>183.32100000000011</v>
      </c>
      <c r="G175" s="12">
        <f t="shared" si="28"/>
        <v>26.010025411139772</v>
      </c>
      <c r="H175" s="79" t="s">
        <v>295</v>
      </c>
      <c r="I175" s="80"/>
      <c r="J175" s="32"/>
    </row>
    <row r="176" spans="1:10" ht="17.25" hidden="1" customHeight="1">
      <c r="A176" s="9" t="s">
        <v>270</v>
      </c>
      <c r="B176" s="10" t="s">
        <v>177</v>
      </c>
      <c r="C176" s="9" t="s">
        <v>4</v>
      </c>
      <c r="D176" s="11">
        <v>279.37299999999999</v>
      </c>
      <c r="E176" s="11">
        <f>252.625+60.451</f>
        <v>313.07600000000002</v>
      </c>
      <c r="F176" s="17">
        <f t="shared" ref="F176:F178" si="38">E176-D176</f>
        <v>33.703000000000031</v>
      </c>
      <c r="G176" s="12">
        <f t="shared" si="28"/>
        <v>12.063800009306567</v>
      </c>
      <c r="H176" s="64"/>
      <c r="I176" s="65"/>
      <c r="J176" s="32"/>
    </row>
    <row r="177" spans="1:10" ht="17.25" hidden="1" customHeight="1">
      <c r="A177" s="9" t="s">
        <v>271</v>
      </c>
      <c r="B177" s="10" t="s">
        <v>178</v>
      </c>
      <c r="C177" s="9" t="s">
        <v>4</v>
      </c>
      <c r="D177" s="11">
        <v>66.230999999999995</v>
      </c>
      <c r="E177" s="11">
        <f>71.059+30.983</f>
        <v>102.042</v>
      </c>
      <c r="F177" s="17">
        <f t="shared" si="38"/>
        <v>35.811000000000007</v>
      </c>
      <c r="G177" s="12">
        <f t="shared" si="28"/>
        <v>54.069846446528082</v>
      </c>
      <c r="H177" s="64"/>
      <c r="I177" s="65"/>
      <c r="J177" s="32"/>
    </row>
    <row r="178" spans="1:10" ht="17.25" hidden="1" customHeight="1">
      <c r="A178" s="9" t="s">
        <v>272</v>
      </c>
      <c r="B178" s="10" t="s">
        <v>179</v>
      </c>
      <c r="C178" s="9" t="s">
        <v>4</v>
      </c>
      <c r="D178" s="11">
        <v>359.20499999999998</v>
      </c>
      <c r="E178" s="11">
        <f>383.307+131.949-42.244</f>
        <v>473.01200000000006</v>
      </c>
      <c r="F178" s="17">
        <f t="shared" si="38"/>
        <v>113.80700000000007</v>
      </c>
      <c r="G178" s="12">
        <f t="shared" si="28"/>
        <v>31.683022229646046</v>
      </c>
      <c r="H178" s="64"/>
      <c r="I178" s="65"/>
      <c r="J178" s="32"/>
    </row>
    <row r="179" spans="1:10" ht="29.25" customHeight="1">
      <c r="A179" s="36" t="s">
        <v>175</v>
      </c>
      <c r="B179" s="6" t="s">
        <v>180</v>
      </c>
      <c r="C179" s="36" t="s">
        <v>4</v>
      </c>
      <c r="D179" s="7">
        <f>D180+D181+D182+D183+D188+D189+D190+D191+D195</f>
        <v>2573.8890000000001</v>
      </c>
      <c r="E179" s="7">
        <f>E180+E181+E182+E183+E188+E189+E190+E191+E192+E193+E194+E195</f>
        <v>2555.5649999999996</v>
      </c>
      <c r="F179" s="7">
        <f>F180+F181+F182+F183+F188+F189+F190+F191+F192+F193+F194+F195</f>
        <v>-18.323999999999973</v>
      </c>
      <c r="G179" s="12">
        <f t="shared" si="28"/>
        <v>-0.71191881234971566</v>
      </c>
      <c r="H179" s="85" t="s">
        <v>305</v>
      </c>
      <c r="I179" s="67"/>
      <c r="J179" s="32"/>
    </row>
    <row r="180" spans="1:10" ht="17.25" hidden="1" customHeight="1">
      <c r="A180" s="19" t="s">
        <v>273</v>
      </c>
      <c r="B180" s="10" t="s">
        <v>181</v>
      </c>
      <c r="C180" s="9" t="s">
        <v>4</v>
      </c>
      <c r="D180" s="11">
        <v>210</v>
      </c>
      <c r="E180" s="11">
        <v>210</v>
      </c>
      <c r="F180" s="17">
        <f t="shared" ref="F180:F182" si="39">E180-D180</f>
        <v>0</v>
      </c>
      <c r="G180" s="12">
        <f t="shared" si="28"/>
        <v>0</v>
      </c>
      <c r="H180" s="64"/>
      <c r="I180" s="65"/>
      <c r="J180" s="32"/>
    </row>
    <row r="181" spans="1:10" ht="17.25" hidden="1" customHeight="1">
      <c r="A181" s="19" t="s">
        <v>274</v>
      </c>
      <c r="B181" s="10" t="s">
        <v>182</v>
      </c>
      <c r="C181" s="9" t="s">
        <v>4</v>
      </c>
      <c r="D181" s="11">
        <v>167.16</v>
      </c>
      <c r="E181" s="11">
        <f>119.66+47.5</f>
        <v>167.16</v>
      </c>
      <c r="F181" s="17">
        <f t="shared" si="39"/>
        <v>0</v>
      </c>
      <c r="G181" s="12">
        <f t="shared" si="28"/>
        <v>0</v>
      </c>
      <c r="H181" s="64"/>
      <c r="I181" s="65"/>
      <c r="J181" s="32"/>
    </row>
    <row r="182" spans="1:10" ht="33.75" hidden="1" customHeight="1">
      <c r="A182" s="19" t="s">
        <v>275</v>
      </c>
      <c r="B182" s="10" t="s">
        <v>237</v>
      </c>
      <c r="C182" s="9" t="s">
        <v>4</v>
      </c>
      <c r="D182" s="11">
        <v>24.47</v>
      </c>
      <c r="E182" s="11">
        <v>26.53</v>
      </c>
      <c r="F182" s="17">
        <f t="shared" si="39"/>
        <v>2.0600000000000023</v>
      </c>
      <c r="G182" s="12">
        <f t="shared" si="28"/>
        <v>8.4184715978749587</v>
      </c>
      <c r="H182" s="64"/>
      <c r="I182" s="65"/>
      <c r="J182" s="32"/>
    </row>
    <row r="183" spans="1:10" ht="36.75" hidden="1" customHeight="1">
      <c r="A183" s="19" t="s">
        <v>276</v>
      </c>
      <c r="B183" s="10" t="s">
        <v>183</v>
      </c>
      <c r="C183" s="9" t="s">
        <v>4</v>
      </c>
      <c r="D183" s="11">
        <f t="shared" ref="D183:F183" si="40">D184+D185+D186+D187</f>
        <v>1651.19</v>
      </c>
      <c r="E183" s="11">
        <f t="shared" si="40"/>
        <v>1651.1889999999999</v>
      </c>
      <c r="F183" s="17">
        <f t="shared" si="40"/>
        <v>-9.9999999997635314E-4</v>
      </c>
      <c r="G183" s="12">
        <f t="shared" si="28"/>
        <v>-6.0562382280437327E-5</v>
      </c>
      <c r="H183" s="64"/>
      <c r="I183" s="65"/>
      <c r="J183" s="32"/>
    </row>
    <row r="184" spans="1:10" ht="74.25" hidden="1" customHeight="1">
      <c r="A184" s="9" t="s">
        <v>277</v>
      </c>
      <c r="B184" s="10" t="s">
        <v>184</v>
      </c>
      <c r="C184" s="9" t="s">
        <v>4</v>
      </c>
      <c r="D184" s="11">
        <v>394.642</v>
      </c>
      <c r="E184" s="11">
        <f>394.642-74.242+74.242</f>
        <v>394.642</v>
      </c>
      <c r="F184" s="17">
        <f t="shared" ref="F184:F204" si="41">E184-D184</f>
        <v>0</v>
      </c>
      <c r="G184" s="12">
        <f t="shared" si="28"/>
        <v>0</v>
      </c>
      <c r="H184" s="64"/>
      <c r="I184" s="65"/>
      <c r="J184" s="32"/>
    </row>
    <row r="185" spans="1:10" ht="93" hidden="1" customHeight="1">
      <c r="A185" s="9" t="s">
        <v>278</v>
      </c>
      <c r="B185" s="10" t="s">
        <v>238</v>
      </c>
      <c r="C185" s="9" t="s">
        <v>4</v>
      </c>
      <c r="D185" s="11">
        <v>1043.8119999999999</v>
      </c>
      <c r="E185" s="11">
        <f>1043.811-260.953+260.953</f>
        <v>1043.8109999999999</v>
      </c>
      <c r="F185" s="17">
        <f t="shared" si="41"/>
        <v>-9.9999999997635314E-4</v>
      </c>
      <c r="G185" s="12">
        <f t="shared" si="28"/>
        <v>-9.5802692436602877E-5</v>
      </c>
      <c r="H185" s="64"/>
      <c r="I185" s="65"/>
      <c r="J185" s="32"/>
    </row>
    <row r="186" spans="1:10" ht="90.75" hidden="1" customHeight="1">
      <c r="A186" s="9" t="s">
        <v>279</v>
      </c>
      <c r="B186" s="10" t="s">
        <v>185</v>
      </c>
      <c r="C186" s="9" t="s">
        <v>4</v>
      </c>
      <c r="D186" s="11">
        <v>0</v>
      </c>
      <c r="E186" s="11">
        <v>0</v>
      </c>
      <c r="F186" s="17">
        <f t="shared" si="41"/>
        <v>0</v>
      </c>
      <c r="G186" s="12"/>
      <c r="H186" s="64"/>
      <c r="I186" s="65"/>
      <c r="J186" s="32"/>
    </row>
    <row r="187" spans="1:10" ht="37.5" hidden="1" customHeight="1">
      <c r="A187" s="9" t="s">
        <v>280</v>
      </c>
      <c r="B187" s="10" t="s">
        <v>186</v>
      </c>
      <c r="C187" s="9" t="s">
        <v>4</v>
      </c>
      <c r="D187" s="11">
        <v>212.73599999999999</v>
      </c>
      <c r="E187" s="11">
        <f>212.736-106.368+106.368</f>
        <v>212.73599999999999</v>
      </c>
      <c r="F187" s="17">
        <f t="shared" si="41"/>
        <v>0</v>
      </c>
      <c r="G187" s="12">
        <f t="shared" si="28"/>
        <v>0</v>
      </c>
      <c r="H187" s="64"/>
      <c r="I187" s="65"/>
      <c r="J187" s="32"/>
    </row>
    <row r="188" spans="1:10" ht="17.25" hidden="1" customHeight="1">
      <c r="A188" s="19" t="s">
        <v>281</v>
      </c>
      <c r="B188" s="28" t="s">
        <v>187</v>
      </c>
      <c r="C188" s="9" t="s">
        <v>4</v>
      </c>
      <c r="D188" s="11">
        <v>442.053</v>
      </c>
      <c r="E188" s="11">
        <v>442.053</v>
      </c>
      <c r="F188" s="17">
        <f t="shared" si="41"/>
        <v>0</v>
      </c>
      <c r="G188" s="12">
        <f t="shared" si="28"/>
        <v>0</v>
      </c>
      <c r="H188" s="64"/>
      <c r="I188" s="65"/>
      <c r="J188" s="32"/>
    </row>
    <row r="189" spans="1:10" ht="17.25" hidden="1" customHeight="1">
      <c r="A189" s="19"/>
      <c r="B189" s="28" t="s">
        <v>125</v>
      </c>
      <c r="C189" s="9" t="s">
        <v>4</v>
      </c>
      <c r="D189" s="11">
        <v>0</v>
      </c>
      <c r="E189" s="11">
        <v>0</v>
      </c>
      <c r="F189" s="17">
        <f t="shared" si="41"/>
        <v>0</v>
      </c>
      <c r="G189" s="12"/>
      <c r="H189" s="64"/>
      <c r="I189" s="65"/>
      <c r="J189" s="32"/>
    </row>
    <row r="190" spans="1:10" ht="17.25" hidden="1" customHeight="1">
      <c r="A190" s="19" t="s">
        <v>282</v>
      </c>
      <c r="B190" s="28" t="s">
        <v>188</v>
      </c>
      <c r="C190" s="9" t="s">
        <v>4</v>
      </c>
      <c r="D190" s="11">
        <v>13.225</v>
      </c>
      <c r="E190" s="11">
        <v>13.225</v>
      </c>
      <c r="F190" s="17">
        <f t="shared" si="41"/>
        <v>0</v>
      </c>
      <c r="G190" s="12">
        <f t="shared" si="28"/>
        <v>0</v>
      </c>
      <c r="H190" s="64"/>
      <c r="I190" s="65"/>
      <c r="J190" s="32"/>
    </row>
    <row r="191" spans="1:10" ht="27" hidden="1" customHeight="1">
      <c r="A191" s="19" t="s">
        <v>283</v>
      </c>
      <c r="B191" s="28" t="s">
        <v>189</v>
      </c>
      <c r="C191" s="9" t="s">
        <v>4</v>
      </c>
      <c r="D191" s="11">
        <v>41.890999999999998</v>
      </c>
      <c r="E191" s="11">
        <v>21.507999999999999</v>
      </c>
      <c r="F191" s="17">
        <f t="shared" si="41"/>
        <v>-20.382999999999999</v>
      </c>
      <c r="G191" s="12">
        <f t="shared" si="28"/>
        <v>-48.657229476498529</v>
      </c>
      <c r="H191" s="66" t="s">
        <v>291</v>
      </c>
      <c r="I191" s="67"/>
      <c r="J191" s="32"/>
    </row>
    <row r="192" spans="1:10" ht="17.25" hidden="1" customHeight="1">
      <c r="A192" s="19" t="s">
        <v>284</v>
      </c>
      <c r="B192" s="28" t="s">
        <v>225</v>
      </c>
      <c r="C192" s="9" t="s">
        <v>4</v>
      </c>
      <c r="D192" s="11">
        <v>0</v>
      </c>
      <c r="E192" s="11">
        <f>4010.692-4010.692</f>
        <v>0</v>
      </c>
      <c r="F192" s="17">
        <f t="shared" si="41"/>
        <v>0</v>
      </c>
      <c r="G192" s="12"/>
      <c r="H192" s="66" t="s">
        <v>292</v>
      </c>
      <c r="I192" s="67"/>
      <c r="J192" s="32"/>
    </row>
    <row r="193" spans="1:12" ht="17.25" hidden="1" customHeight="1">
      <c r="A193" s="19" t="s">
        <v>285</v>
      </c>
      <c r="B193" s="28" t="s">
        <v>228</v>
      </c>
      <c r="C193" s="9" t="s">
        <v>4</v>
      </c>
      <c r="D193" s="11">
        <v>0</v>
      </c>
      <c r="E193" s="11">
        <f>7.051-7.051</f>
        <v>0</v>
      </c>
      <c r="F193" s="17">
        <f t="shared" si="41"/>
        <v>0</v>
      </c>
      <c r="G193" s="12"/>
      <c r="H193" s="66" t="s">
        <v>292</v>
      </c>
      <c r="I193" s="67"/>
      <c r="J193" s="32"/>
    </row>
    <row r="194" spans="1:12" ht="34.5" hidden="1" customHeight="1">
      <c r="A194" s="19" t="s">
        <v>286</v>
      </c>
      <c r="B194" s="28" t="s">
        <v>231</v>
      </c>
      <c r="C194" s="9" t="s">
        <v>4</v>
      </c>
      <c r="D194" s="11">
        <v>0</v>
      </c>
      <c r="E194" s="11">
        <f>180.761-180.761</f>
        <v>0</v>
      </c>
      <c r="F194" s="17">
        <f t="shared" si="41"/>
        <v>0</v>
      </c>
      <c r="G194" s="12"/>
      <c r="H194" s="66" t="s">
        <v>292</v>
      </c>
      <c r="I194" s="67"/>
      <c r="J194" s="32"/>
    </row>
    <row r="195" spans="1:12" ht="17.25" hidden="1" customHeight="1">
      <c r="A195" s="19" t="s">
        <v>284</v>
      </c>
      <c r="B195" s="28" t="s">
        <v>230</v>
      </c>
      <c r="C195" s="9" t="s">
        <v>4</v>
      </c>
      <c r="D195" s="11">
        <v>23.9</v>
      </c>
      <c r="E195" s="11">
        <v>23.9</v>
      </c>
      <c r="F195" s="17">
        <f t="shared" si="41"/>
        <v>0</v>
      </c>
      <c r="G195" s="12">
        <f t="shared" si="28"/>
        <v>0</v>
      </c>
      <c r="H195" s="64"/>
      <c r="I195" s="65"/>
      <c r="J195" s="32"/>
    </row>
    <row r="196" spans="1:12" ht="21" customHeight="1">
      <c r="A196" s="36" t="s">
        <v>190</v>
      </c>
      <c r="B196" s="6" t="s">
        <v>191</v>
      </c>
      <c r="C196" s="36" t="s">
        <v>4</v>
      </c>
      <c r="D196" s="7">
        <f>D8+D133</f>
        <v>738351.84600000002</v>
      </c>
      <c r="E196" s="7">
        <f>E8+E133</f>
        <v>734632.07</v>
      </c>
      <c r="F196" s="22">
        <f t="shared" si="41"/>
        <v>-3719.7760000000708</v>
      </c>
      <c r="G196" s="8">
        <f t="shared" si="28"/>
        <v>-0.50379450124650604</v>
      </c>
      <c r="H196" s="64"/>
      <c r="I196" s="65"/>
      <c r="J196" s="32"/>
    </row>
    <row r="197" spans="1:12" ht="19.5" customHeight="1">
      <c r="A197" s="36" t="s">
        <v>192</v>
      </c>
      <c r="B197" s="6" t="s">
        <v>193</v>
      </c>
      <c r="C197" s="36" t="s">
        <v>4</v>
      </c>
      <c r="D197" s="7">
        <v>105.32</v>
      </c>
      <c r="E197" s="7">
        <f>E198-E196</f>
        <v>-8973.747999999905</v>
      </c>
      <c r="F197" s="22">
        <f t="shared" si="41"/>
        <v>-9079.0679999999047</v>
      </c>
      <c r="G197" s="24">
        <f t="shared" si="28"/>
        <v>-8620.4595518419155</v>
      </c>
      <c r="H197" s="64"/>
      <c r="I197" s="65"/>
      <c r="J197" s="32"/>
    </row>
    <row r="198" spans="1:12" ht="17.25" customHeight="1">
      <c r="A198" s="36" t="s">
        <v>194</v>
      </c>
      <c r="B198" s="6" t="s">
        <v>195</v>
      </c>
      <c r="C198" s="36" t="s">
        <v>4</v>
      </c>
      <c r="D198" s="7">
        <f>D196+D197</f>
        <v>738457.16599999997</v>
      </c>
      <c r="E198" s="7">
        <v>725658.32200000004</v>
      </c>
      <c r="F198" s="22">
        <f t="shared" si="41"/>
        <v>-12798.843999999925</v>
      </c>
      <c r="G198" s="8">
        <f t="shared" si="28"/>
        <v>-1.7331870539394192</v>
      </c>
      <c r="H198" s="64"/>
      <c r="I198" s="65"/>
      <c r="J198" s="32"/>
    </row>
    <row r="199" spans="1:12" s="43" customFormat="1" ht="30.75" customHeight="1">
      <c r="A199" s="86" t="s">
        <v>196</v>
      </c>
      <c r="B199" s="87" t="s">
        <v>197</v>
      </c>
      <c r="C199" s="38" t="s">
        <v>114</v>
      </c>
      <c r="D199" s="39">
        <v>5678.2539999999999</v>
      </c>
      <c r="E199" s="39">
        <v>5579.8410000000003</v>
      </c>
      <c r="F199" s="40">
        <f>E199-D199</f>
        <v>-98.412999999999556</v>
      </c>
      <c r="G199" s="41">
        <f t="shared" si="28"/>
        <v>-1.7331560018273147</v>
      </c>
      <c r="H199" s="88" t="s">
        <v>299</v>
      </c>
      <c r="I199" s="89"/>
      <c r="J199" s="42"/>
    </row>
    <row r="200" spans="1:12" s="43" customFormat="1" ht="17.25" customHeight="1">
      <c r="A200" s="86"/>
      <c r="B200" s="87"/>
      <c r="C200" s="38" t="s">
        <v>4</v>
      </c>
      <c r="D200" s="39">
        <f>D198</f>
        <v>738457.16599999997</v>
      </c>
      <c r="E200" s="39">
        <v>725658.32200000004</v>
      </c>
      <c r="F200" s="40">
        <f t="shared" si="41"/>
        <v>-12798.843999999925</v>
      </c>
      <c r="G200" s="41">
        <f t="shared" si="28"/>
        <v>-1.7331870539394192</v>
      </c>
      <c r="H200" s="83"/>
      <c r="I200" s="84"/>
      <c r="J200" s="42"/>
    </row>
    <row r="201" spans="1:12" ht="27.75" customHeight="1">
      <c r="A201" s="36" t="s">
        <v>198</v>
      </c>
      <c r="B201" s="37" t="s">
        <v>199</v>
      </c>
      <c r="C201" s="36" t="s">
        <v>114</v>
      </c>
      <c r="D201" s="7">
        <v>7755.0590000000002</v>
      </c>
      <c r="E201" s="7">
        <v>7612.2749999999996</v>
      </c>
      <c r="F201" s="22">
        <f t="shared" si="41"/>
        <v>-142.78400000000056</v>
      </c>
      <c r="G201" s="8">
        <f t="shared" ref="G201:G211" si="42">F201/D201*100</f>
        <v>-1.8411723237695621</v>
      </c>
      <c r="H201" s="66" t="s">
        <v>299</v>
      </c>
      <c r="I201" s="67"/>
      <c r="J201" s="32"/>
    </row>
    <row r="202" spans="1:12" ht="17.25" customHeight="1">
      <c r="A202" s="81" t="s">
        <v>200</v>
      </c>
      <c r="B202" s="82" t="s">
        <v>201</v>
      </c>
      <c r="C202" s="36" t="s">
        <v>202</v>
      </c>
      <c r="D202" s="22">
        <f>D203/D201*100</f>
        <v>26.780002576382721</v>
      </c>
      <c r="E202" s="22">
        <f>E203/E201*100</f>
        <v>26.699429539789342</v>
      </c>
      <c r="F202" s="22">
        <f t="shared" si="41"/>
        <v>-8.0573036593378333E-2</v>
      </c>
      <c r="G202" s="8">
        <f>F202/D202*100</f>
        <v>-0.30087015997689143</v>
      </c>
      <c r="H202" s="64"/>
      <c r="I202" s="65"/>
      <c r="J202" s="32"/>
      <c r="L202" s="32"/>
    </row>
    <row r="203" spans="1:12" ht="17.25" customHeight="1">
      <c r="A203" s="81"/>
      <c r="B203" s="82"/>
      <c r="C203" s="36" t="s">
        <v>114</v>
      </c>
      <c r="D203" s="7">
        <f>D201-D199</f>
        <v>2076.8050000000003</v>
      </c>
      <c r="E203" s="7">
        <f>E201-E199</f>
        <v>2032.4339999999993</v>
      </c>
      <c r="F203" s="22">
        <f t="shared" si="41"/>
        <v>-44.371000000001004</v>
      </c>
      <c r="G203" s="8">
        <f t="shared" si="42"/>
        <v>-2.1365029456304754</v>
      </c>
      <c r="H203" s="64"/>
      <c r="I203" s="65"/>
      <c r="J203" s="32"/>
      <c r="L203" s="32"/>
    </row>
    <row r="204" spans="1:12" s="1" customFormat="1" ht="21" customHeight="1">
      <c r="A204" s="36" t="s">
        <v>203</v>
      </c>
      <c r="B204" s="6" t="s">
        <v>204</v>
      </c>
      <c r="C204" s="36" t="s">
        <v>205</v>
      </c>
      <c r="D204" s="22">
        <f>D198/D199</f>
        <v>130.05004108657343</v>
      </c>
      <c r="E204" s="22">
        <f>E198/E199</f>
        <v>130.04999999103916</v>
      </c>
      <c r="F204" s="22">
        <f t="shared" si="41"/>
        <v>-4.1095534271562428E-5</v>
      </c>
      <c r="G204" s="8">
        <f t="shared" si="42"/>
        <v>-3.1599785688806828E-5</v>
      </c>
      <c r="H204" s="64"/>
      <c r="I204" s="65"/>
      <c r="J204" s="32"/>
      <c r="L204" s="90"/>
    </row>
    <row r="205" spans="1:12" ht="17.25" customHeight="1">
      <c r="A205" s="9"/>
      <c r="B205" s="10" t="s">
        <v>206</v>
      </c>
      <c r="C205" s="9"/>
      <c r="D205" s="22"/>
      <c r="E205" s="22"/>
      <c r="F205" s="22"/>
      <c r="G205" s="12"/>
      <c r="H205" s="64"/>
      <c r="I205" s="65"/>
      <c r="L205" s="32"/>
    </row>
    <row r="206" spans="1:12" ht="35.25" customHeight="1">
      <c r="A206" s="9">
        <v>7</v>
      </c>
      <c r="B206" s="10" t="s">
        <v>207</v>
      </c>
      <c r="C206" s="9" t="s">
        <v>208</v>
      </c>
      <c r="D206" s="15">
        <f>D207+D208</f>
        <v>208</v>
      </c>
      <c r="E206" s="15">
        <f>E207+E208</f>
        <v>170</v>
      </c>
      <c r="F206" s="15">
        <f>E206-D206</f>
        <v>-38</v>
      </c>
      <c r="G206" s="12">
        <f t="shared" si="42"/>
        <v>-18.269230769230766</v>
      </c>
      <c r="H206" s="64"/>
      <c r="I206" s="65"/>
      <c r="L206" s="92"/>
    </row>
    <row r="207" spans="1:12" ht="17.25" customHeight="1">
      <c r="A207" s="19" t="s">
        <v>209</v>
      </c>
      <c r="B207" s="10" t="s">
        <v>210</v>
      </c>
      <c r="C207" s="9" t="s">
        <v>208</v>
      </c>
      <c r="D207" s="15">
        <v>196</v>
      </c>
      <c r="E207" s="15">
        <v>162</v>
      </c>
      <c r="F207" s="15">
        <f t="shared" ref="F207:F211" si="43">E207-D207</f>
        <v>-34</v>
      </c>
      <c r="G207" s="12">
        <f t="shared" si="42"/>
        <v>-17.346938775510203</v>
      </c>
      <c r="H207" s="64"/>
      <c r="I207" s="65"/>
    </row>
    <row r="208" spans="1:12" ht="17.25" customHeight="1">
      <c r="A208" s="19" t="s">
        <v>211</v>
      </c>
      <c r="B208" s="10" t="s">
        <v>212</v>
      </c>
      <c r="C208" s="9" t="s">
        <v>208</v>
      </c>
      <c r="D208" s="15">
        <v>12</v>
      </c>
      <c r="E208" s="15">
        <v>8</v>
      </c>
      <c r="F208" s="15">
        <f t="shared" si="43"/>
        <v>-4</v>
      </c>
      <c r="G208" s="12">
        <f t="shared" si="42"/>
        <v>-33.333333333333329</v>
      </c>
      <c r="H208" s="64"/>
      <c r="I208" s="65"/>
    </row>
    <row r="209" spans="1:12" ht="36" customHeight="1">
      <c r="A209" s="19" t="s">
        <v>213</v>
      </c>
      <c r="B209" s="10" t="s">
        <v>214</v>
      </c>
      <c r="C209" s="9" t="s">
        <v>16</v>
      </c>
      <c r="D209" s="15">
        <f>(D88+D140)/12/D206*1000</f>
        <v>78556.732371794875</v>
      </c>
      <c r="E209" s="15">
        <f>(E88+E140)/12/E206*1000</f>
        <v>96170.009803921566</v>
      </c>
      <c r="F209" s="15">
        <f t="shared" si="43"/>
        <v>17613.277432126692</v>
      </c>
      <c r="G209" s="12">
        <f t="shared" si="42"/>
        <v>22.421092248040843</v>
      </c>
      <c r="H209" s="64"/>
      <c r="I209" s="65"/>
      <c r="L209" s="91"/>
    </row>
    <row r="210" spans="1:12" ht="17.25" customHeight="1">
      <c r="A210" s="19" t="s">
        <v>215</v>
      </c>
      <c r="B210" s="10" t="s">
        <v>210</v>
      </c>
      <c r="C210" s="9" t="s">
        <v>16</v>
      </c>
      <c r="D210" s="15">
        <f>D88/D207/12*1000</f>
        <v>76992</v>
      </c>
      <c r="E210" s="15">
        <f>E88/E207/12*1000</f>
        <v>93206.99794238685</v>
      </c>
      <c r="F210" s="15">
        <f t="shared" si="43"/>
        <v>16214.99794238685</v>
      </c>
      <c r="G210" s="12">
        <f t="shared" si="42"/>
        <v>21.060627003307943</v>
      </c>
      <c r="H210" s="64"/>
      <c r="I210" s="65"/>
    </row>
    <row r="211" spans="1:12" ht="17.25" customHeight="1">
      <c r="A211" s="19" t="s">
        <v>216</v>
      </c>
      <c r="B211" s="10" t="s">
        <v>212</v>
      </c>
      <c r="C211" s="9" t="s">
        <v>16</v>
      </c>
      <c r="D211" s="15">
        <f>D140/D208/12*1000</f>
        <v>104114.02777777778</v>
      </c>
      <c r="E211" s="15">
        <f>E140/E208/12*1000</f>
        <v>156171</v>
      </c>
      <c r="F211" s="15">
        <f t="shared" si="43"/>
        <v>52056.972222222219</v>
      </c>
      <c r="G211" s="12">
        <f t="shared" si="42"/>
        <v>49.999959979776442</v>
      </c>
      <c r="H211" s="64"/>
      <c r="I211" s="65"/>
    </row>
    <row r="212" spans="1:12" ht="15.75" customHeight="1">
      <c r="A212" s="31"/>
      <c r="B212" s="31"/>
      <c r="C212" s="31"/>
      <c r="D212" s="31"/>
      <c r="E212" s="31"/>
      <c r="F212" s="31"/>
      <c r="G212" s="31"/>
      <c r="H212" s="31"/>
      <c r="I212" s="31"/>
    </row>
    <row r="213" spans="1:12" ht="15" customHeight="1">
      <c r="A213" s="31"/>
      <c r="B213" s="31" t="s">
        <v>297</v>
      </c>
      <c r="C213" s="31"/>
      <c r="D213" s="31"/>
      <c r="E213" s="31" t="s">
        <v>298</v>
      </c>
      <c r="F213" s="31"/>
      <c r="G213" s="31"/>
      <c r="H213" s="31"/>
      <c r="I213" s="31"/>
    </row>
    <row r="214" spans="1:12" ht="4.5" customHeight="1">
      <c r="A214" s="31"/>
      <c r="B214" s="31"/>
      <c r="C214" s="31"/>
      <c r="D214" s="31"/>
      <c r="E214" s="31"/>
      <c r="F214" s="31"/>
      <c r="G214" s="31"/>
      <c r="H214" s="31"/>
      <c r="I214" s="31"/>
    </row>
    <row r="215" spans="1:12" ht="52.5" hidden="1" customHeight="1">
      <c r="A215" s="31"/>
      <c r="B215" s="31"/>
      <c r="C215" s="31"/>
      <c r="D215" s="31"/>
      <c r="E215" s="31"/>
      <c r="F215" s="31"/>
      <c r="G215" s="31"/>
      <c r="H215" s="31"/>
      <c r="I215" s="31"/>
    </row>
    <row r="216" spans="1:12" ht="15.75" hidden="1" customHeight="1">
      <c r="A216" s="31"/>
      <c r="B216" s="31"/>
      <c r="C216" s="31"/>
      <c r="D216" s="31"/>
      <c r="E216" s="31"/>
      <c r="F216" s="31"/>
      <c r="G216" s="31"/>
      <c r="H216" s="31"/>
      <c r="I216" s="31"/>
    </row>
    <row r="217" spans="1:12" ht="27" hidden="1" customHeight="1">
      <c r="A217" s="31"/>
      <c r="B217" s="31"/>
      <c r="C217" s="31"/>
      <c r="D217" s="31"/>
      <c r="E217" s="31"/>
      <c r="F217" s="31"/>
      <c r="G217" s="31"/>
      <c r="H217" s="31"/>
      <c r="I217" s="31"/>
    </row>
    <row r="218" spans="1:12" ht="23.25" customHeight="1">
      <c r="A218" s="31"/>
      <c r="B218" s="31" t="s">
        <v>233</v>
      </c>
      <c r="C218" s="31"/>
      <c r="D218" s="31"/>
      <c r="E218" s="31" t="s">
        <v>234</v>
      </c>
      <c r="F218" s="31"/>
      <c r="G218" s="31"/>
      <c r="H218" s="31"/>
      <c r="I218" s="31"/>
    </row>
    <row r="219" spans="1:12" ht="4.5" hidden="1" customHeight="1">
      <c r="B219" s="3" t="s">
        <v>233</v>
      </c>
      <c r="C219" s="3"/>
      <c r="D219" t="s">
        <v>234</v>
      </c>
    </row>
    <row r="220" spans="1:12" ht="21" customHeight="1">
      <c r="A220" s="4" t="s">
        <v>235</v>
      </c>
      <c r="B220" s="4"/>
      <c r="C220" s="2"/>
    </row>
    <row r="221" spans="1:12" ht="15.75">
      <c r="A221" s="2"/>
      <c r="B221" s="2"/>
      <c r="C221" s="2"/>
    </row>
    <row r="222" spans="1:12" ht="15.75">
      <c r="A222" s="2"/>
      <c r="B222" s="2"/>
      <c r="C222" s="2"/>
    </row>
    <row r="223" spans="1:12" ht="15.75">
      <c r="A223" s="2"/>
      <c r="B223" s="2"/>
      <c r="C223" s="2"/>
    </row>
    <row r="224" spans="1:12" ht="15.75">
      <c r="A224" s="2"/>
      <c r="B224" s="2"/>
      <c r="C224" s="2"/>
    </row>
    <row r="225" spans="1:3" ht="15.75">
      <c r="A225" s="2"/>
      <c r="B225" s="2"/>
      <c r="C225" s="2"/>
    </row>
  </sheetData>
  <mergeCells count="215">
    <mergeCell ref="H211:I211"/>
    <mergeCell ref="H72:I73"/>
    <mergeCell ref="H117:I118"/>
    <mergeCell ref="H205:I205"/>
    <mergeCell ref="H206:I206"/>
    <mergeCell ref="H207:I207"/>
    <mergeCell ref="H208:I208"/>
    <mergeCell ref="H209:I209"/>
    <mergeCell ref="H210:I210"/>
    <mergeCell ref="H201:I201"/>
    <mergeCell ref="H189:I189"/>
    <mergeCell ref="H190:I190"/>
    <mergeCell ref="H191:I191"/>
    <mergeCell ref="H192:I192"/>
    <mergeCell ref="H193:I193"/>
    <mergeCell ref="H194:I194"/>
    <mergeCell ref="H183:I183"/>
    <mergeCell ref="H184:I184"/>
    <mergeCell ref="H185:I185"/>
    <mergeCell ref="H186:I186"/>
    <mergeCell ref="H187:I187"/>
    <mergeCell ref="H188:I188"/>
    <mergeCell ref="H177:I177"/>
    <mergeCell ref="H178:I178"/>
    <mergeCell ref="A202:A203"/>
    <mergeCell ref="B202:B203"/>
    <mergeCell ref="H202:I202"/>
    <mergeCell ref="H203:I203"/>
    <mergeCell ref="H204:I204"/>
    <mergeCell ref="H195:I195"/>
    <mergeCell ref="H196:I196"/>
    <mergeCell ref="H197:I197"/>
    <mergeCell ref="H198:I198"/>
    <mergeCell ref="A199:A200"/>
    <mergeCell ref="B199:B200"/>
    <mergeCell ref="H199:I199"/>
    <mergeCell ref="H200:I200"/>
    <mergeCell ref="H179:I179"/>
    <mergeCell ref="H180:I180"/>
    <mergeCell ref="H181:I181"/>
    <mergeCell ref="H182:I182"/>
    <mergeCell ref="H171:I171"/>
    <mergeCell ref="H172:I172"/>
    <mergeCell ref="H173:I173"/>
    <mergeCell ref="H174:I174"/>
    <mergeCell ref="H175:I175"/>
    <mergeCell ref="H176:I176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  <mergeCell ref="H153:I153"/>
    <mergeCell ref="H154:I154"/>
    <mergeCell ref="H155:I155"/>
    <mergeCell ref="H156:I156"/>
    <mergeCell ref="H157:I157"/>
    <mergeCell ref="H158:I158"/>
    <mergeCell ref="H147:I147"/>
    <mergeCell ref="H148:I148"/>
    <mergeCell ref="H149:I149"/>
    <mergeCell ref="H150:I150"/>
    <mergeCell ref="H151:I151"/>
    <mergeCell ref="H152:I152"/>
    <mergeCell ref="H141:I141"/>
    <mergeCell ref="H142:I142"/>
    <mergeCell ref="H143:I143"/>
    <mergeCell ref="H144:I144"/>
    <mergeCell ref="H145:I145"/>
    <mergeCell ref="H146:I146"/>
    <mergeCell ref="H135:I135"/>
    <mergeCell ref="H136:I136"/>
    <mergeCell ref="H137:I137"/>
    <mergeCell ref="H138:I138"/>
    <mergeCell ref="H139:I139"/>
    <mergeCell ref="H140:I140"/>
    <mergeCell ref="H129:I129"/>
    <mergeCell ref="H130:I130"/>
    <mergeCell ref="H131:I131"/>
    <mergeCell ref="H132:I132"/>
    <mergeCell ref="H133:I133"/>
    <mergeCell ref="H134:I134"/>
    <mergeCell ref="H123:I123"/>
    <mergeCell ref="H124:I124"/>
    <mergeCell ref="H125:I125"/>
    <mergeCell ref="H126:I126"/>
    <mergeCell ref="H127:I127"/>
    <mergeCell ref="H128:I128"/>
    <mergeCell ref="H119:I119"/>
    <mergeCell ref="H120:I120"/>
    <mergeCell ref="H121:I121"/>
    <mergeCell ref="H122:I122"/>
    <mergeCell ref="H111:I111"/>
    <mergeCell ref="H112:I112"/>
    <mergeCell ref="H113:I113"/>
    <mergeCell ref="H114:I114"/>
    <mergeCell ref="H115:I115"/>
    <mergeCell ref="H116:I116"/>
    <mergeCell ref="H105:I105"/>
    <mergeCell ref="H106:I106"/>
    <mergeCell ref="H107:I107"/>
    <mergeCell ref="H108:I108"/>
    <mergeCell ref="H109:I109"/>
    <mergeCell ref="H110:I110"/>
    <mergeCell ref="H99:I99"/>
    <mergeCell ref="H100:I100"/>
    <mergeCell ref="H101:I101"/>
    <mergeCell ref="H102:I102"/>
    <mergeCell ref="H103:I103"/>
    <mergeCell ref="H104:I104"/>
    <mergeCell ref="H93:I93"/>
    <mergeCell ref="H94:I94"/>
    <mergeCell ref="H95:I95"/>
    <mergeCell ref="H96:I96"/>
    <mergeCell ref="H97:I97"/>
    <mergeCell ref="H98:I98"/>
    <mergeCell ref="H87:I87"/>
    <mergeCell ref="H88:I88"/>
    <mergeCell ref="H89:I89"/>
    <mergeCell ref="H90:I90"/>
    <mergeCell ref="H91:I91"/>
    <mergeCell ref="H92:I92"/>
    <mergeCell ref="H81:I81"/>
    <mergeCell ref="H82:I82"/>
    <mergeCell ref="H83:I83"/>
    <mergeCell ref="H84:I84"/>
    <mergeCell ref="H85:I85"/>
    <mergeCell ref="H86:I86"/>
    <mergeCell ref="H75:I75"/>
    <mergeCell ref="H76:I76"/>
    <mergeCell ref="H77:I77"/>
    <mergeCell ref="H78:I78"/>
    <mergeCell ref="H79:I79"/>
    <mergeCell ref="H80:I80"/>
    <mergeCell ref="H68:I68"/>
    <mergeCell ref="H69:I70"/>
    <mergeCell ref="H71:I71"/>
    <mergeCell ref="H74:I74"/>
    <mergeCell ref="H62:I62"/>
    <mergeCell ref="H63:I63"/>
    <mergeCell ref="H64:I64"/>
    <mergeCell ref="H65:I65"/>
    <mergeCell ref="H66:I66"/>
    <mergeCell ref="H67:I67"/>
    <mergeCell ref="H54:I54"/>
    <mergeCell ref="H55:I55"/>
    <mergeCell ref="H56:I56"/>
    <mergeCell ref="H57:I58"/>
    <mergeCell ref="H59:I59"/>
    <mergeCell ref="H60:I61"/>
    <mergeCell ref="H48:I48"/>
    <mergeCell ref="H49:I49"/>
    <mergeCell ref="H50:I50"/>
    <mergeCell ref="H51:I51"/>
    <mergeCell ref="H52:I52"/>
    <mergeCell ref="H53:I53"/>
    <mergeCell ref="H41:I41"/>
    <mergeCell ref="H42:I43"/>
    <mergeCell ref="H44:I44"/>
    <mergeCell ref="H45:I45"/>
    <mergeCell ref="H46:I46"/>
    <mergeCell ref="H47:I47"/>
    <mergeCell ref="H35:I35"/>
    <mergeCell ref="H36:I36"/>
    <mergeCell ref="H37:I37"/>
    <mergeCell ref="H38:I38"/>
    <mergeCell ref="H39:I39"/>
    <mergeCell ref="H40:I40"/>
    <mergeCell ref="H29:I29"/>
    <mergeCell ref="H30:I30"/>
    <mergeCell ref="H31:I31"/>
    <mergeCell ref="H32:I32"/>
    <mergeCell ref="H33:I33"/>
    <mergeCell ref="H34:I34"/>
    <mergeCell ref="H23:I23"/>
    <mergeCell ref="H24:I24"/>
    <mergeCell ref="H25:I25"/>
    <mergeCell ref="H26:I26"/>
    <mergeCell ref="H27:I27"/>
    <mergeCell ref="H28:I28"/>
    <mergeCell ref="H17:I17"/>
    <mergeCell ref="H18:I18"/>
    <mergeCell ref="H19:I19"/>
    <mergeCell ref="H20:I20"/>
    <mergeCell ref="H21:I21"/>
    <mergeCell ref="H22:I22"/>
    <mergeCell ref="H11:I11"/>
    <mergeCell ref="H12:I12"/>
    <mergeCell ref="H13:I13"/>
    <mergeCell ref="H14:I14"/>
    <mergeCell ref="H15:I15"/>
    <mergeCell ref="H16:I16"/>
    <mergeCell ref="F5:F6"/>
    <mergeCell ref="G5:G6"/>
    <mergeCell ref="H7:I7"/>
    <mergeCell ref="H8:I8"/>
    <mergeCell ref="H9:I9"/>
    <mergeCell ref="H10:I10"/>
    <mergeCell ref="A1:I1"/>
    <mergeCell ref="A2:I2"/>
    <mergeCell ref="A3:C3"/>
    <mergeCell ref="A4:A6"/>
    <mergeCell ref="B4:B6"/>
    <mergeCell ref="C4:C6"/>
    <mergeCell ref="D4:G4"/>
    <mergeCell ref="H4:I6"/>
    <mergeCell ref="D5:D6"/>
    <mergeCell ref="E5:E6"/>
  </mergeCells>
  <pageMargins left="0.51181102362204722" right="0" top="0.94488188976377963" bottom="0.39370078740157483" header="0.31496062992125984" footer="0.31496062992125984"/>
  <pageSetup paperSize="9" scale="6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от 18.04.17г. для ДКРЕМ</vt:lpstr>
      <vt:lpstr>от 18.04.17г. для ДКРЕМ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ERMEK</cp:lastModifiedBy>
  <cp:lastPrinted>2017-04-29T07:31:24Z</cp:lastPrinted>
  <dcterms:created xsi:type="dcterms:W3CDTF">2016-02-24T04:13:12Z</dcterms:created>
  <dcterms:modified xsi:type="dcterms:W3CDTF">2017-04-29T08:33:29Z</dcterms:modified>
</cp:coreProperties>
</file>