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M158" i="1"/>
  <c r="M161" s="1"/>
  <c r="M157" l="1"/>
  <c r="M103" l="1"/>
  <c r="M112"/>
  <c r="M113"/>
  <c r="M87"/>
  <c r="M117"/>
  <c r="M131"/>
  <c r="M124"/>
  <c r="M129"/>
  <c r="M104"/>
  <c r="M92"/>
  <c r="M93"/>
  <c r="M110"/>
  <c r="M109" s="1"/>
  <c r="M85"/>
  <c r="M84" s="1"/>
  <c r="E84"/>
  <c r="F84"/>
  <c r="G84"/>
  <c r="H84"/>
  <c r="I84"/>
  <c r="J84"/>
  <c r="K84"/>
  <c r="L84"/>
  <c r="M83"/>
  <c r="M162" s="1"/>
  <c r="M160" s="1"/>
  <c r="M13"/>
  <c r="M12" s="1"/>
  <c r="E64"/>
  <c r="F64"/>
  <c r="G64"/>
  <c r="H64"/>
  <c r="I64"/>
  <c r="J64"/>
  <c r="K64"/>
  <c r="L64"/>
  <c r="M64"/>
  <c r="E53"/>
  <c r="E51" s="1"/>
  <c r="F53"/>
  <c r="F51" s="1"/>
  <c r="G53"/>
  <c r="G51" s="1"/>
  <c r="H53"/>
  <c r="H51" s="1"/>
  <c r="I53"/>
  <c r="J53"/>
  <c r="J51" s="1"/>
  <c r="K53"/>
  <c r="K51" s="1"/>
  <c r="L53"/>
  <c r="L51" s="1"/>
  <c r="M53"/>
  <c r="M51" s="1"/>
  <c r="I51"/>
  <c r="M39"/>
  <c r="N15" l="1"/>
  <c r="N16"/>
  <c r="N18"/>
  <c r="N19"/>
  <c r="N21"/>
  <c r="N22"/>
  <c r="N27"/>
  <c r="N28"/>
  <c r="N30"/>
  <c r="N31"/>
  <c r="N33"/>
  <c r="N34"/>
  <c r="N36"/>
  <c r="N37"/>
  <c r="N41"/>
  <c r="N43"/>
  <c r="N44"/>
  <c r="N46"/>
  <c r="N47"/>
  <c r="N49"/>
  <c r="N50"/>
  <c r="N57"/>
  <c r="N61"/>
  <c r="N62"/>
  <c r="N63"/>
  <c r="N74"/>
  <c r="N75"/>
  <c r="N76"/>
  <c r="N77"/>
  <c r="N78"/>
  <c r="N79"/>
  <c r="N80"/>
  <c r="N89"/>
  <c r="N90"/>
  <c r="N91"/>
  <c r="N94"/>
  <c r="N95"/>
  <c r="N96"/>
  <c r="N97"/>
  <c r="N98"/>
  <c r="N99"/>
  <c r="N100"/>
  <c r="N101"/>
  <c r="N102"/>
  <c r="N105"/>
  <c r="N106"/>
  <c r="N107"/>
  <c r="N120"/>
  <c r="N121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5"/>
  <c r="N156"/>
  <c r="N158"/>
  <c r="N159"/>
  <c r="N160"/>
  <c r="N161"/>
  <c r="N162"/>
  <c r="E154"/>
  <c r="F154"/>
  <c r="G154"/>
  <c r="H154"/>
  <c r="I154"/>
  <c r="J154"/>
  <c r="K154"/>
  <c r="L154"/>
  <c r="M154"/>
  <c r="D153" l="1"/>
  <c r="N153" s="1"/>
  <c r="D126"/>
  <c r="N126" s="1"/>
  <c r="D125"/>
  <c r="N125" s="1"/>
  <c r="D124"/>
  <c r="N124" s="1"/>
  <c r="D123"/>
  <c r="N123" s="1"/>
  <c r="D122"/>
  <c r="N122" s="1"/>
  <c r="D119"/>
  <c r="N119" s="1"/>
  <c r="D118"/>
  <c r="N118" s="1"/>
  <c r="D117"/>
  <c r="N117" s="1"/>
  <c r="D115"/>
  <c r="N115" s="1"/>
  <c r="D114"/>
  <c r="N114" s="1"/>
  <c r="D113"/>
  <c r="N113" s="1"/>
  <c r="D112"/>
  <c r="N112" s="1"/>
  <c r="D110"/>
  <c r="N110" s="1"/>
  <c r="D108"/>
  <c r="N108" s="1"/>
  <c r="D104"/>
  <c r="N104" s="1"/>
  <c r="D103"/>
  <c r="N103" s="1"/>
  <c r="D93"/>
  <c r="N93" s="1"/>
  <c r="D92"/>
  <c r="N92" s="1"/>
  <c r="D88"/>
  <c r="N88" s="1"/>
  <c r="D87"/>
  <c r="N87" s="1"/>
  <c r="D86"/>
  <c r="N86" s="1"/>
  <c r="D85"/>
  <c r="N85" s="1"/>
  <c r="D83"/>
  <c r="N83" s="1"/>
  <c r="D73"/>
  <c r="N73" s="1"/>
  <c r="D72"/>
  <c r="N72" s="1"/>
  <c r="D60"/>
  <c r="N60" s="1"/>
  <c r="D59"/>
  <c r="N59" s="1"/>
  <c r="D56"/>
  <c r="N56" s="1"/>
  <c r="D55"/>
  <c r="N55" s="1"/>
  <c r="D54"/>
  <c r="N54" s="1"/>
  <c r="D52"/>
  <c r="N52" s="1"/>
  <c r="D48"/>
  <c r="N48" s="1"/>
  <c r="D45"/>
  <c r="N45" s="1"/>
  <c r="D42"/>
  <c r="N42" s="1"/>
  <c r="D20"/>
  <c r="N20" s="1"/>
  <c r="D11"/>
  <c r="N11" s="1"/>
  <c r="D10"/>
  <c r="N10" s="1"/>
  <c r="D53" l="1"/>
  <c r="O162"/>
  <c r="O161"/>
  <c r="O160"/>
  <c r="O159"/>
  <c r="O158"/>
  <c r="L157"/>
  <c r="K157"/>
  <c r="J157"/>
  <c r="I157"/>
  <c r="H157"/>
  <c r="G157"/>
  <c r="F157"/>
  <c r="E157"/>
  <c r="D157"/>
  <c r="O155"/>
  <c r="D154"/>
  <c r="N154" s="1"/>
  <c r="O153"/>
  <c r="M152"/>
  <c r="L152"/>
  <c r="K152"/>
  <c r="J152"/>
  <c r="I152"/>
  <c r="H152"/>
  <c r="G152"/>
  <c r="F152"/>
  <c r="E152"/>
  <c r="O126"/>
  <c r="O125"/>
  <c r="O124"/>
  <c r="O123"/>
  <c r="O122"/>
  <c r="O121"/>
  <c r="O120"/>
  <c r="O119"/>
  <c r="D116"/>
  <c r="O117"/>
  <c r="M116"/>
  <c r="L116"/>
  <c r="K116"/>
  <c r="J116"/>
  <c r="I116"/>
  <c r="H116"/>
  <c r="G116"/>
  <c r="F116"/>
  <c r="E116"/>
  <c r="O115"/>
  <c r="O114"/>
  <c r="O113"/>
  <c r="O112"/>
  <c r="M111"/>
  <c r="L111"/>
  <c r="K111"/>
  <c r="J111"/>
  <c r="I111"/>
  <c r="H111"/>
  <c r="G111"/>
  <c r="F111"/>
  <c r="E111"/>
  <c r="D111"/>
  <c r="O110"/>
  <c r="O109" s="1"/>
  <c r="L109"/>
  <c r="K109"/>
  <c r="J109"/>
  <c r="I109"/>
  <c r="H109"/>
  <c r="G109"/>
  <c r="F109"/>
  <c r="E109"/>
  <c r="D109"/>
  <c r="N109" s="1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D84"/>
  <c r="O83"/>
  <c r="D71"/>
  <c r="N71" s="1"/>
  <c r="D70"/>
  <c r="N70" s="1"/>
  <c r="D69"/>
  <c r="N69" s="1"/>
  <c r="D68"/>
  <c r="N68" s="1"/>
  <c r="D67"/>
  <c r="N67" s="1"/>
  <c r="D66"/>
  <c r="O63"/>
  <c r="O62"/>
  <c r="O61"/>
  <c r="O60"/>
  <c r="O59"/>
  <c r="M58"/>
  <c r="L58"/>
  <c r="K58"/>
  <c r="J58"/>
  <c r="I58"/>
  <c r="H58"/>
  <c r="G58"/>
  <c r="F58"/>
  <c r="E58"/>
  <c r="O56"/>
  <c r="O55"/>
  <c r="O54"/>
  <c r="O52"/>
  <c r="O50"/>
  <c r="O49"/>
  <c r="L48"/>
  <c r="K48"/>
  <c r="J48"/>
  <c r="I48"/>
  <c r="H48"/>
  <c r="G48"/>
  <c r="F48"/>
  <c r="E48"/>
  <c r="O47"/>
  <c r="O46"/>
  <c r="L45"/>
  <c r="K45"/>
  <c r="J45"/>
  <c r="I45"/>
  <c r="H45"/>
  <c r="G45"/>
  <c r="F45"/>
  <c r="E45"/>
  <c r="O44"/>
  <c r="O43"/>
  <c r="L42"/>
  <c r="K42"/>
  <c r="J42"/>
  <c r="I42"/>
  <c r="H42"/>
  <c r="G42"/>
  <c r="F42"/>
  <c r="E42"/>
  <c r="M40"/>
  <c r="L40"/>
  <c r="L39" s="1"/>
  <c r="L38" s="1"/>
  <c r="K40"/>
  <c r="K39" s="1"/>
  <c r="K38" s="1"/>
  <c r="J40"/>
  <c r="J39" s="1"/>
  <c r="J38" s="1"/>
  <c r="I40"/>
  <c r="H40"/>
  <c r="H39" s="1"/>
  <c r="H38" s="1"/>
  <c r="G40"/>
  <c r="G39" s="1"/>
  <c r="G38" s="1"/>
  <c r="F40"/>
  <c r="F39" s="1"/>
  <c r="F38" s="1"/>
  <c r="E40"/>
  <c r="E39" s="1"/>
  <c r="E38" s="1"/>
  <c r="D40"/>
  <c r="D39" s="1"/>
  <c r="I39"/>
  <c r="I38" s="1"/>
  <c r="O37"/>
  <c r="O35" s="1"/>
  <c r="O36"/>
  <c r="M35"/>
  <c r="L35"/>
  <c r="K35"/>
  <c r="J35"/>
  <c r="I35"/>
  <c r="H35"/>
  <c r="G35"/>
  <c r="F35"/>
  <c r="E35"/>
  <c r="D35"/>
  <c r="O34"/>
  <c r="O33"/>
  <c r="M32"/>
  <c r="L32"/>
  <c r="K32"/>
  <c r="J32"/>
  <c r="I32"/>
  <c r="H32"/>
  <c r="G32"/>
  <c r="F32"/>
  <c r="E32"/>
  <c r="D32"/>
  <c r="O31"/>
  <c r="O30"/>
  <c r="M29"/>
  <c r="L29"/>
  <c r="K29"/>
  <c r="J29"/>
  <c r="I29"/>
  <c r="H29"/>
  <c r="G29"/>
  <c r="F29"/>
  <c r="E29"/>
  <c r="D29"/>
  <c r="O28"/>
  <c r="O26" s="1"/>
  <c r="O27"/>
  <c r="M26"/>
  <c r="L26"/>
  <c r="K26"/>
  <c r="J26"/>
  <c r="I26"/>
  <c r="I25" s="1"/>
  <c r="I23" s="1"/>
  <c r="H26"/>
  <c r="G26"/>
  <c r="G25" s="1"/>
  <c r="G23" s="1"/>
  <c r="F26"/>
  <c r="E26"/>
  <c r="E25" s="1"/>
  <c r="E23" s="1"/>
  <c r="D26"/>
  <c r="O24"/>
  <c r="M24"/>
  <c r="L24"/>
  <c r="K24"/>
  <c r="J24"/>
  <c r="I24"/>
  <c r="H24"/>
  <c r="G24"/>
  <c r="F24"/>
  <c r="E24"/>
  <c r="D24"/>
  <c r="O22"/>
  <c r="O21"/>
  <c r="L20"/>
  <c r="K20"/>
  <c r="J20"/>
  <c r="I20"/>
  <c r="H20"/>
  <c r="G20"/>
  <c r="F20"/>
  <c r="E20"/>
  <c r="D17"/>
  <c r="N17" s="1"/>
  <c r="O16"/>
  <c r="O15"/>
  <c r="O14" s="1"/>
  <c r="O13" s="1"/>
  <c r="M14"/>
  <c r="N14" s="1"/>
  <c r="L14"/>
  <c r="L13" s="1"/>
  <c r="K14"/>
  <c r="K13" s="1"/>
  <c r="J14"/>
  <c r="J13" s="1"/>
  <c r="I14"/>
  <c r="H14"/>
  <c r="G14"/>
  <c r="G13" s="1"/>
  <c r="F14"/>
  <c r="F13" s="1"/>
  <c r="E14"/>
  <c r="E13" s="1"/>
  <c r="D14"/>
  <c r="D13" s="1"/>
  <c r="N13" s="1"/>
  <c r="I13"/>
  <c r="H13"/>
  <c r="O11"/>
  <c r="O10"/>
  <c r="L10"/>
  <c r="K10"/>
  <c r="J10"/>
  <c r="I10"/>
  <c r="H10"/>
  <c r="G10"/>
  <c r="F10"/>
  <c r="E10"/>
  <c r="E82" l="1"/>
  <c r="E81" s="1"/>
  <c r="I82"/>
  <c r="I81" s="1"/>
  <c r="O154"/>
  <c r="O152" s="1"/>
  <c r="N24"/>
  <c r="O45"/>
  <c r="N111"/>
  <c r="J82"/>
  <c r="J81" s="1"/>
  <c r="N66"/>
  <c r="D65"/>
  <c r="N65" s="1"/>
  <c r="O84"/>
  <c r="N84"/>
  <c r="M25"/>
  <c r="N26"/>
  <c r="N39"/>
  <c r="D38"/>
  <c r="O53"/>
  <c r="O51" s="1"/>
  <c r="N53"/>
  <c r="O42"/>
  <c r="N29"/>
  <c r="N32"/>
  <c r="N35"/>
  <c r="F82"/>
  <c r="F81" s="1"/>
  <c r="K25"/>
  <c r="K23" s="1"/>
  <c r="K12" s="1"/>
  <c r="K9" s="1"/>
  <c r="K8" s="1"/>
  <c r="O32"/>
  <c r="O157"/>
  <c r="D152"/>
  <c r="N152" s="1"/>
  <c r="H82"/>
  <c r="H81" s="1"/>
  <c r="L82"/>
  <c r="L81" s="1"/>
  <c r="M82"/>
  <c r="M81" s="1"/>
  <c r="N116"/>
  <c r="M38"/>
  <c r="N40"/>
  <c r="N157"/>
  <c r="G82"/>
  <c r="G81" s="1"/>
  <c r="K82"/>
  <c r="K81" s="1"/>
  <c r="D51"/>
  <c r="N51" s="1"/>
  <c r="O20"/>
  <c r="E12"/>
  <c r="E9" s="1"/>
  <c r="E8" s="1"/>
  <c r="E150" s="1"/>
  <c r="E151" s="1"/>
  <c r="I12"/>
  <c r="I9" s="1"/>
  <c r="I8" s="1"/>
  <c r="D25"/>
  <c r="H25"/>
  <c r="H23" s="1"/>
  <c r="H12" s="1"/>
  <c r="H9" s="1"/>
  <c r="H8" s="1"/>
  <c r="L25"/>
  <c r="L23" s="1"/>
  <c r="L12" s="1"/>
  <c r="L9" s="1"/>
  <c r="L8" s="1"/>
  <c r="O29"/>
  <c r="F25"/>
  <c r="F23" s="1"/>
  <c r="F12" s="1"/>
  <c r="J25"/>
  <c r="J23" s="1"/>
  <c r="J12" s="1"/>
  <c r="J9" s="1"/>
  <c r="J8" s="1"/>
  <c r="J150" s="1"/>
  <c r="J151" s="1"/>
  <c r="O48"/>
  <c r="O40"/>
  <c r="O39" s="1"/>
  <c r="O38" s="1"/>
  <c r="O25"/>
  <c r="O23" s="1"/>
  <c r="O12" s="1"/>
  <c r="O111"/>
  <c r="G12"/>
  <c r="G9" s="1"/>
  <c r="G8" s="1"/>
  <c r="O118"/>
  <c r="O116" s="1"/>
  <c r="D82"/>
  <c r="D81" s="1"/>
  <c r="I150" l="1"/>
  <c r="I151" s="1"/>
  <c r="N25"/>
  <c r="F9"/>
  <c r="F8" s="1"/>
  <c r="F150" s="1"/>
  <c r="F151" s="1"/>
  <c r="D12"/>
  <c r="D23"/>
  <c r="N23" s="1"/>
  <c r="N38"/>
  <c r="M9"/>
  <c r="M8" s="1"/>
  <c r="D64"/>
  <c r="H150"/>
  <c r="H151" s="1"/>
  <c r="L150"/>
  <c r="L151" s="1"/>
  <c r="N81"/>
  <c r="N82"/>
  <c r="K150"/>
  <c r="K151" s="1"/>
  <c r="G150"/>
  <c r="G151" s="1"/>
  <c r="O82"/>
  <c r="O81" s="1"/>
  <c r="O9"/>
  <c r="O64" l="1"/>
  <c r="O58" s="1"/>
  <c r="N64"/>
  <c r="D58"/>
  <c r="N58" s="1"/>
  <c r="D9"/>
  <c r="N12"/>
  <c r="O8"/>
  <c r="O150" s="1"/>
  <c r="O151" s="1"/>
  <c r="N9"/>
  <c r="M150"/>
  <c r="D8" l="1"/>
  <c r="M151"/>
  <c r="D150" l="1"/>
  <c r="N8"/>
  <c r="D151" l="1"/>
  <c r="N151" s="1"/>
  <c r="N150"/>
</calcChain>
</file>

<file path=xl/sharedStrings.xml><?xml version="1.0" encoding="utf-8"?>
<sst xmlns="http://schemas.openxmlformats.org/spreadsheetml/2006/main" count="453" uniqueCount="258">
  <si>
    <t>Акмолинский филиал республиканского государственного предприятия на праве хозяйственного ведения "Казводхоз" Комитета по водным ресурсам Министерства сельского хозяйства</t>
  </si>
  <si>
    <t>№ п/п</t>
  </si>
  <si>
    <t>Наименование</t>
  </si>
  <si>
    <t>Ед. изм.</t>
  </si>
  <si>
    <t>с начала года</t>
  </si>
  <si>
    <t>план согласно утвержденной сметы</t>
  </si>
  <si>
    <t xml:space="preserve">АГУ </t>
  </si>
  <si>
    <t xml:space="preserve">ПГУ </t>
  </si>
  <si>
    <t>СГУ</t>
  </si>
  <si>
    <t>РЭУ</t>
  </si>
  <si>
    <t>ТБ</t>
  </si>
  <si>
    <t>ОМТС</t>
  </si>
  <si>
    <t>КГВ Эксплуатация</t>
  </si>
  <si>
    <t>АУП</t>
  </si>
  <si>
    <t>фактические затраты за месяц</t>
  </si>
  <si>
    <t>отклонение +,-</t>
  </si>
  <si>
    <t>отклонение ,%</t>
  </si>
  <si>
    <t>I</t>
  </si>
  <si>
    <t>Затраты на производство и представление услуг-всего</t>
  </si>
  <si>
    <t>тыс.тенге</t>
  </si>
  <si>
    <t>1.</t>
  </si>
  <si>
    <t>Материальные затраты, всего</t>
  </si>
  <si>
    <t>1.1.</t>
  </si>
  <si>
    <t>Сырьё и материалы, всего</t>
  </si>
  <si>
    <t>1.2.</t>
  </si>
  <si>
    <t>Запасные части</t>
  </si>
  <si>
    <t>1.3.</t>
  </si>
  <si>
    <t xml:space="preserve">ГСМ </t>
  </si>
  <si>
    <t>1.3.1.</t>
  </si>
  <si>
    <t>Бензин</t>
  </si>
  <si>
    <t>Аи 92</t>
  </si>
  <si>
    <t>объем</t>
  </si>
  <si>
    <t>л</t>
  </si>
  <si>
    <t>цена</t>
  </si>
  <si>
    <t>тенге</t>
  </si>
  <si>
    <t>Аи 80</t>
  </si>
  <si>
    <t>1.3.2.</t>
  </si>
  <si>
    <t>Дизтопливо</t>
  </si>
  <si>
    <t>1.3.3.</t>
  </si>
  <si>
    <t>Масла и смазки</t>
  </si>
  <si>
    <t>общая сумма</t>
  </si>
  <si>
    <t>моторное масло</t>
  </si>
  <si>
    <t>трансмисионное</t>
  </si>
  <si>
    <t>специальное</t>
  </si>
  <si>
    <t>пластичиские</t>
  </si>
  <si>
    <t>кг</t>
  </si>
  <si>
    <t>1.4.</t>
  </si>
  <si>
    <t>электроэнергия</t>
  </si>
  <si>
    <t>кВт</t>
  </si>
  <si>
    <t>ТОО "АРЭК-Энергосбыт" п.Аршалы (Астанинский гидроузел)</t>
  </si>
  <si>
    <t>ТОО "АРЭК-Энергосбыт"  (Преображенский гидроузел)</t>
  </si>
  <si>
    <t>ТОО "АРЭК-Энергосбыт" г.Степногорск (Селетинский гидроузел)</t>
  </si>
  <si>
    <t>2.</t>
  </si>
  <si>
    <t>Затраты на оплату труда, всего</t>
  </si>
  <si>
    <t>2.1.</t>
  </si>
  <si>
    <t>Заработная плата производственного персонала</t>
  </si>
  <si>
    <t>2.2.</t>
  </si>
  <si>
    <t>Социальный налог</t>
  </si>
  <si>
    <t>2.2.1.</t>
  </si>
  <si>
    <t>соц.отчисления</t>
  </si>
  <si>
    <t>2.2.2.</t>
  </si>
  <si>
    <t>соц.налог</t>
  </si>
  <si>
    <t>3.</t>
  </si>
  <si>
    <t>Амортизация</t>
  </si>
  <si>
    <t>4.</t>
  </si>
  <si>
    <t>Капритальный ремонт не приводящий к увеличению стоимости основных средств</t>
  </si>
  <si>
    <t>5.</t>
  </si>
  <si>
    <t>Прочие затараты, всего</t>
  </si>
  <si>
    <t>5.1.</t>
  </si>
  <si>
    <t>Услуги связи</t>
  </si>
  <si>
    <t>5.2.</t>
  </si>
  <si>
    <t>Командировки</t>
  </si>
  <si>
    <t>5.2.1.</t>
  </si>
  <si>
    <t>проживание</t>
  </si>
  <si>
    <t>5.2.2.</t>
  </si>
  <si>
    <t>за проезд</t>
  </si>
  <si>
    <t>5.2.3.</t>
  </si>
  <si>
    <t>суточные</t>
  </si>
  <si>
    <t>5.3.</t>
  </si>
  <si>
    <t>Охрана труда и ТБ</t>
  </si>
  <si>
    <t>5.3.1.</t>
  </si>
  <si>
    <t>страхование в том числе:</t>
  </si>
  <si>
    <t>5.3.1.1.</t>
  </si>
  <si>
    <t>обязательное страхование ГПО владльцев объектов, деятельность связанная с опасностью причинения вреда третьим лицам</t>
  </si>
  <si>
    <t>5.3.1.2.</t>
  </si>
  <si>
    <t>обязательное страхование владельцев ТС</t>
  </si>
  <si>
    <t>5.3.1.3.</t>
  </si>
  <si>
    <t>обязательное страхование ГПО перевозчика перед пассажироми</t>
  </si>
  <si>
    <t>5.3.1.4.</t>
  </si>
  <si>
    <t>обследование грузоподъемного крана</t>
  </si>
  <si>
    <t>5.3.1.5.</t>
  </si>
  <si>
    <t>обязательное страхование ГПО работодателя за причинение вреда жизни и здаровью работника при исполнений им трудовых (служебных) обязанностей</t>
  </si>
  <si>
    <t>5.3.1.6.</t>
  </si>
  <si>
    <t>обязательное экологическое страхование</t>
  </si>
  <si>
    <t>5.3.2.</t>
  </si>
  <si>
    <t>Спец. Одежда</t>
  </si>
  <si>
    <t>5.3.3.</t>
  </si>
  <si>
    <t>обучение и проверка знаний по ТБ и ОТ</t>
  </si>
  <si>
    <t>5.3.4.</t>
  </si>
  <si>
    <t>услуги по обслуживанию систем видеонаблюдения</t>
  </si>
  <si>
    <t>5.4.</t>
  </si>
  <si>
    <t xml:space="preserve">ремонт а/машин и тех.обслуживание </t>
  </si>
  <si>
    <t>5.5.</t>
  </si>
  <si>
    <t>Охрана пультом</t>
  </si>
  <si>
    <t>5.6.</t>
  </si>
  <si>
    <t>Мойка автомашин</t>
  </si>
  <si>
    <t>5.7.</t>
  </si>
  <si>
    <t>Копировальные услуги</t>
  </si>
  <si>
    <t>5.8.</t>
  </si>
  <si>
    <t>Проверка средств измерений</t>
  </si>
  <si>
    <t>5.9.</t>
  </si>
  <si>
    <t>ИПН</t>
  </si>
  <si>
    <t>II</t>
  </si>
  <si>
    <t>Расходы периода, всего</t>
  </si>
  <si>
    <t>6.</t>
  </si>
  <si>
    <t>Общие и административные расходы</t>
  </si>
  <si>
    <t>6.1.</t>
  </si>
  <si>
    <t>Заработная плата административного персонала</t>
  </si>
  <si>
    <t>6.2.</t>
  </si>
  <si>
    <t>6.2.1.</t>
  </si>
  <si>
    <t>6.2.2.</t>
  </si>
  <si>
    <t>6.3.</t>
  </si>
  <si>
    <t>6.4.</t>
  </si>
  <si>
    <t>расходы на содержание и обслуживание технических средств управления, узлов связи, вычислитьной техники и т.д.</t>
  </si>
  <si>
    <t>6.4.1.</t>
  </si>
  <si>
    <t>замена барабан</t>
  </si>
  <si>
    <t>6.4.2.</t>
  </si>
  <si>
    <t>заправка картриджа</t>
  </si>
  <si>
    <t>6.4.3.</t>
  </si>
  <si>
    <t>ремонт принтера</t>
  </si>
  <si>
    <t>6.5.</t>
  </si>
  <si>
    <t>Услуги банков</t>
  </si>
  <si>
    <t>6.6.</t>
  </si>
  <si>
    <t>6.6.1.</t>
  </si>
  <si>
    <t>Абонплата</t>
  </si>
  <si>
    <t>6.6.2.</t>
  </si>
  <si>
    <t>Абонплата Мегалайн</t>
  </si>
  <si>
    <t>6.6.3.</t>
  </si>
  <si>
    <t>Междугородние разговоры</t>
  </si>
  <si>
    <t>6.6.4.</t>
  </si>
  <si>
    <t>Международные разговоры</t>
  </si>
  <si>
    <t>6.6.5.</t>
  </si>
  <si>
    <t>платная справка</t>
  </si>
  <si>
    <t>6.6.6.</t>
  </si>
  <si>
    <t>прочие услуги</t>
  </si>
  <si>
    <t>6.6.7.</t>
  </si>
  <si>
    <t>Разговоры по сети сот.операторов</t>
  </si>
  <si>
    <t>6.6.8.</t>
  </si>
  <si>
    <t>сотовая связь</t>
  </si>
  <si>
    <t>6.6.9.</t>
  </si>
  <si>
    <t>услуга АЙД ТВ</t>
  </si>
  <si>
    <t>6.7.</t>
  </si>
  <si>
    <t>Канцтовары</t>
  </si>
  <si>
    <t>6.8.</t>
  </si>
  <si>
    <t>6.8.1.</t>
  </si>
  <si>
    <t>6.8.2.</t>
  </si>
  <si>
    <t>6.8.3.</t>
  </si>
  <si>
    <t>6.9.</t>
  </si>
  <si>
    <t>Электроэнергия покупная</t>
  </si>
  <si>
    <t>6.10.</t>
  </si>
  <si>
    <t>Содержание автотранспорта, в т.ч.</t>
  </si>
  <si>
    <t>6.10.1.</t>
  </si>
  <si>
    <t>6.11.</t>
  </si>
  <si>
    <t>Налоги</t>
  </si>
  <si>
    <t>6.11.1.</t>
  </si>
  <si>
    <t>налоги на имущество</t>
  </si>
  <si>
    <t>6.11.2.</t>
  </si>
  <si>
    <t>земельный налог</t>
  </si>
  <si>
    <t>6.11.3.</t>
  </si>
  <si>
    <t>на транспорт</t>
  </si>
  <si>
    <t>6.11.4.</t>
  </si>
  <si>
    <t>оплата за эмисию в окружающую среду</t>
  </si>
  <si>
    <t>6.12.</t>
  </si>
  <si>
    <t>Прочие расходы</t>
  </si>
  <si>
    <t>6.12.1.</t>
  </si>
  <si>
    <t>хоз. товары</t>
  </si>
  <si>
    <t>6.12.2.</t>
  </si>
  <si>
    <t>услуги дезинфекций, деротизации</t>
  </si>
  <si>
    <t>6.12.3.</t>
  </si>
  <si>
    <t>комунальные услуги</t>
  </si>
  <si>
    <t>6.12.3.1.</t>
  </si>
  <si>
    <t>вывоз ТБО</t>
  </si>
  <si>
    <t>6.12.3.2.</t>
  </si>
  <si>
    <t>питьевая вода</t>
  </si>
  <si>
    <t>6.12.4.</t>
  </si>
  <si>
    <t>почтовые услуги</t>
  </si>
  <si>
    <t>6.12.5.</t>
  </si>
  <si>
    <t>база "закон"</t>
  </si>
  <si>
    <t>6.12.6.</t>
  </si>
  <si>
    <t>обслуживание 1С бухгалтерия</t>
  </si>
  <si>
    <t>6.12.7.</t>
  </si>
  <si>
    <t>страхование ГПО владельцев ТС</t>
  </si>
  <si>
    <t>6.12.8.</t>
  </si>
  <si>
    <t>6.12.9.</t>
  </si>
  <si>
    <t>госпошлина</t>
  </si>
  <si>
    <t>6.12.10.</t>
  </si>
  <si>
    <t>за оказанные земельно-кадастровые</t>
  </si>
  <si>
    <t>6.12.11.</t>
  </si>
  <si>
    <t>изготовление бланков, печати, штампа</t>
  </si>
  <si>
    <t>6.12.12.</t>
  </si>
  <si>
    <t>6.12.13.</t>
  </si>
  <si>
    <t>объявление в газету и телерад.</t>
  </si>
  <si>
    <t>6.12.14.</t>
  </si>
  <si>
    <t>6.12.15.</t>
  </si>
  <si>
    <t>составление проектов по обр. землепольз-лей</t>
  </si>
  <si>
    <t>6.12.16.</t>
  </si>
  <si>
    <t>штрафы пения</t>
  </si>
  <si>
    <t>6.12.17.</t>
  </si>
  <si>
    <t>аудит финансовой отчетности</t>
  </si>
  <si>
    <t>6.12.18.</t>
  </si>
  <si>
    <t>мойка автомашин</t>
  </si>
  <si>
    <t>страхования работника</t>
  </si>
  <si>
    <t>аттестация электротехнического персонала</t>
  </si>
  <si>
    <t>Гос.регистрации ТС</t>
  </si>
  <si>
    <t>Государ.регистрации номерных знаков</t>
  </si>
  <si>
    <t>дигностика и выдача актов тех.заключ.</t>
  </si>
  <si>
    <t>запчасти ТС</t>
  </si>
  <si>
    <t>услуги копировальные</t>
  </si>
  <si>
    <t>6.12.19.</t>
  </si>
  <si>
    <t>материалы</t>
  </si>
  <si>
    <t>распичатка фотографий</t>
  </si>
  <si>
    <t>потписка на печат.изделия</t>
  </si>
  <si>
    <t>ремонт дам. Здания</t>
  </si>
  <si>
    <t>стройтельно-монтажные работы</t>
  </si>
  <si>
    <t>6.12.20.</t>
  </si>
  <si>
    <t>тех.обслуживание ТС</t>
  </si>
  <si>
    <t>III</t>
  </si>
  <si>
    <t>Всего затрат</t>
  </si>
  <si>
    <t>IV</t>
  </si>
  <si>
    <t>Прибыль</t>
  </si>
  <si>
    <t>V</t>
  </si>
  <si>
    <t>Всего доходов</t>
  </si>
  <si>
    <t>VI</t>
  </si>
  <si>
    <t>Объем оказываемых услуг</t>
  </si>
  <si>
    <t>тыс.м3</t>
  </si>
  <si>
    <t>VII</t>
  </si>
  <si>
    <t>Тариф без НДС</t>
  </si>
  <si>
    <t>тенге/м3</t>
  </si>
  <si>
    <t>Справочно:</t>
  </si>
  <si>
    <t>7.</t>
  </si>
  <si>
    <t>Среднесписочная численность работников, всего</t>
  </si>
  <si>
    <t>человек</t>
  </si>
  <si>
    <t>7.1.</t>
  </si>
  <si>
    <t>производственного персонала</t>
  </si>
  <si>
    <t>7.2.</t>
  </si>
  <si>
    <t>административного персонала</t>
  </si>
  <si>
    <t>8.</t>
  </si>
  <si>
    <t>Среднемесячная заработная платаъ, всего</t>
  </si>
  <si>
    <t>8.1.</t>
  </si>
  <si>
    <t>8.2.</t>
  </si>
  <si>
    <t>Отчет об исполнении тарифной сметы на услуги по регулированию поверхностного стока при помощи подпорных гидротехнических сооружений по Астанинскому, Селетинскому, Преображенскому гидроузлам за 5 месяцев 2017 года</t>
  </si>
  <si>
    <t>факт за 5 месяцев</t>
  </si>
  <si>
    <t>фактические затраты</t>
  </si>
  <si>
    <t>бухгалтерские услуги</t>
  </si>
  <si>
    <t>И.о. директора Акмолинского филиала</t>
  </si>
  <si>
    <t>Б. Базарбаев</t>
  </si>
  <si>
    <t>Главный бухгалтер</t>
  </si>
  <si>
    <t>Г. Жуманова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</si>
</sst>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"/>
    <numFmt numFmtId="166" formatCode="0.000"/>
  </numFmts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3" fillId="2" borderId="1" xfId="1" applyFont="1" applyFill="1" applyBorder="1" applyAlignment="1">
      <alignment horizontal="center"/>
    </xf>
    <xf numFmtId="0" fontId="0" fillId="0" borderId="1" xfId="0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4" fontId="4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4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6" fontId="0" fillId="0" borderId="0" xfId="0" applyNumberFormat="1"/>
    <xf numFmtId="165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3" fontId="4" fillId="2" borderId="1" xfId="0" applyNumberFormat="1" applyFont="1" applyFill="1" applyBorder="1" applyAlignment="1">
      <alignment horizontal="center" vertical="center"/>
    </xf>
    <xf numFmtId="0" fontId="8" fillId="0" borderId="0" xfId="0" applyFont="1"/>
    <xf numFmtId="49" fontId="3" fillId="2" borderId="0" xfId="1" applyNumberFormat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wrapText="1"/>
    </xf>
    <xf numFmtId="0" fontId="3" fillId="2" borderId="0" xfId="1" applyFont="1" applyFill="1" applyBorder="1" applyAlignment="1">
      <alignment horizontal="center"/>
    </xf>
    <xf numFmtId="1" fontId="9" fillId="2" borderId="0" xfId="1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3" fontId="6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5" fillId="0" borderId="0" xfId="0" applyFont="1"/>
    <xf numFmtId="0" fontId="10" fillId="0" borderId="0" xfId="0" applyFont="1"/>
    <xf numFmtId="0" fontId="10" fillId="0" borderId="0" xfId="0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9"/>
  <sheetViews>
    <sheetView tabSelected="1" topLeftCell="A144" workbookViewId="0">
      <selection activeCell="M167" sqref="M167"/>
    </sheetView>
  </sheetViews>
  <sheetFormatPr defaultRowHeight="15" outlineLevelCol="1"/>
  <cols>
    <col min="1" max="1" width="8.42578125" customWidth="1"/>
    <col min="2" max="2" width="39.42578125" customWidth="1"/>
    <col min="3" max="3" width="13" customWidth="1"/>
    <col min="4" max="4" width="15" customWidth="1"/>
    <col min="5" max="5" width="11.28515625" hidden="1" customWidth="1" outlineLevel="1"/>
    <col min="6" max="6" width="10.85546875" hidden="1" customWidth="1" outlineLevel="1"/>
    <col min="7" max="7" width="10.7109375" hidden="1" customWidth="1" outlineLevel="1"/>
    <col min="8" max="8" width="10.42578125" hidden="1" customWidth="1" outlineLevel="1"/>
    <col min="9" max="9" width="11.28515625" hidden="1" customWidth="1" outlineLevel="1"/>
    <col min="10" max="10" width="9.140625" hidden="1" customWidth="1" outlineLevel="1"/>
    <col min="11" max="11" width="15" hidden="1" customWidth="1" outlineLevel="1"/>
    <col min="12" max="12" width="9.5703125" hidden="1" customWidth="1" outlineLevel="1"/>
    <col min="13" max="13" width="13.5703125" customWidth="1" collapsed="1"/>
    <col min="14" max="14" width="13.140625" customWidth="1"/>
    <col min="15" max="15" width="14.7109375" hidden="1" customWidth="1"/>
    <col min="16" max="16" width="14.42578125" hidden="1" customWidth="1"/>
    <col min="17" max="17" width="0" hidden="1" customWidth="1"/>
    <col min="18" max="18" width="9.5703125" hidden="1" customWidth="1"/>
    <col min="20" max="20" width="9.5703125" bestFit="1" customWidth="1"/>
  </cols>
  <sheetData>
    <row r="1" spans="1:18">
      <c r="A1" s="69" t="s">
        <v>250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ht="30.7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ht="46.5" customHeight="1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ht="15.75">
      <c r="A4" s="65" t="s">
        <v>1</v>
      </c>
      <c r="B4" s="66" t="s">
        <v>2</v>
      </c>
      <c r="C4" s="65" t="s">
        <v>3</v>
      </c>
      <c r="D4" s="63" t="s">
        <v>251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4</v>
      </c>
      <c r="P4" s="64"/>
      <c r="Q4" s="64"/>
      <c r="R4" s="64"/>
    </row>
    <row r="5" spans="1:18">
      <c r="A5" s="65"/>
      <c r="B5" s="66"/>
      <c r="C5" s="65"/>
      <c r="D5" s="67" t="s">
        <v>5</v>
      </c>
      <c r="E5" s="68" t="s">
        <v>6</v>
      </c>
      <c r="F5" s="68" t="s">
        <v>7</v>
      </c>
      <c r="G5" s="68" t="s">
        <v>8</v>
      </c>
      <c r="H5" s="68" t="s">
        <v>9</v>
      </c>
      <c r="I5" s="68" t="s">
        <v>10</v>
      </c>
      <c r="J5" s="68" t="s">
        <v>11</v>
      </c>
      <c r="K5" s="68" t="s">
        <v>12</v>
      </c>
      <c r="L5" s="68" t="s">
        <v>13</v>
      </c>
      <c r="M5" s="67" t="s">
        <v>252</v>
      </c>
      <c r="N5" s="67" t="s">
        <v>15</v>
      </c>
      <c r="O5" s="61" t="s">
        <v>5</v>
      </c>
      <c r="P5" s="61" t="s">
        <v>14</v>
      </c>
      <c r="Q5" s="61" t="s">
        <v>15</v>
      </c>
      <c r="R5" s="61" t="s">
        <v>16</v>
      </c>
    </row>
    <row r="6" spans="1:18" ht="36" customHeight="1">
      <c r="A6" s="65"/>
      <c r="B6" s="66"/>
      <c r="C6" s="65"/>
      <c r="D6" s="67"/>
      <c r="E6" s="68"/>
      <c r="F6" s="68"/>
      <c r="G6" s="68"/>
      <c r="H6" s="68"/>
      <c r="I6" s="68"/>
      <c r="J6" s="68"/>
      <c r="K6" s="68"/>
      <c r="L6" s="68"/>
      <c r="M6" s="67"/>
      <c r="N6" s="67"/>
      <c r="O6" s="62"/>
      <c r="P6" s="62"/>
      <c r="Q6" s="62"/>
      <c r="R6" s="62"/>
    </row>
    <row r="7" spans="1:18" ht="15.75">
      <c r="A7" s="1">
        <v>1</v>
      </c>
      <c r="B7" s="1">
        <v>2</v>
      </c>
      <c r="C7" s="1">
        <v>3</v>
      </c>
      <c r="D7" s="1">
        <v>4</v>
      </c>
      <c r="E7" s="2"/>
      <c r="F7" s="2"/>
      <c r="G7" s="2"/>
      <c r="H7" s="2"/>
      <c r="I7" s="2"/>
      <c r="J7" s="2"/>
      <c r="K7" s="2"/>
      <c r="L7" s="2"/>
      <c r="M7" s="1">
        <v>5</v>
      </c>
      <c r="N7" s="1">
        <v>6</v>
      </c>
      <c r="O7" s="1">
        <v>7</v>
      </c>
      <c r="P7" s="1">
        <v>8</v>
      </c>
      <c r="Q7" s="1">
        <v>9</v>
      </c>
      <c r="R7" s="1">
        <v>10</v>
      </c>
    </row>
    <row r="8" spans="1:18" ht="31.5">
      <c r="A8" s="3" t="s">
        <v>17</v>
      </c>
      <c r="B8" s="4" t="s">
        <v>18</v>
      </c>
      <c r="C8" s="5" t="s">
        <v>19</v>
      </c>
      <c r="D8" s="6">
        <f t="shared" ref="D8:L8" si="0">D9+D51+D56+D57+D58</f>
        <v>39645.609652802086</v>
      </c>
      <c r="E8" s="6">
        <f t="shared" si="0"/>
        <v>43.889583333333327</v>
      </c>
      <c r="F8" s="6">
        <f t="shared" si="0"/>
        <v>43.889583333333327</v>
      </c>
      <c r="G8" s="6">
        <f t="shared" si="0"/>
        <v>43.889583333333327</v>
      </c>
      <c r="H8" s="6">
        <f t="shared" si="0"/>
        <v>43.889583333333327</v>
      </c>
      <c r="I8" s="6">
        <f t="shared" si="0"/>
        <v>43.889583333333327</v>
      </c>
      <c r="J8" s="6">
        <f t="shared" si="0"/>
        <v>43.889583333333327</v>
      </c>
      <c r="K8" s="6">
        <f t="shared" si="0"/>
        <v>43.889583333333327</v>
      </c>
      <c r="L8" s="6">
        <f t="shared" si="0"/>
        <v>43.889583333333327</v>
      </c>
      <c r="M8" s="6">
        <f>M9+M51+M56+M57+M58</f>
        <v>32310.925999999999</v>
      </c>
      <c r="N8" s="6">
        <f>M8-D8</f>
        <v>-7334.6836528020867</v>
      </c>
      <c r="O8" s="6">
        <f>O9+O51+O56+O57+O58</f>
        <v>5163061.3837309005</v>
      </c>
      <c r="P8" s="2"/>
      <c r="Q8" s="2"/>
      <c r="R8" s="2"/>
    </row>
    <row r="9" spans="1:18" ht="15.75">
      <c r="A9" s="7" t="s">
        <v>20</v>
      </c>
      <c r="B9" s="4" t="s">
        <v>21</v>
      </c>
      <c r="C9" s="5" t="s">
        <v>19</v>
      </c>
      <c r="D9" s="6">
        <f>D10+D11+D12+D38</f>
        <v>3760.1565028020832</v>
      </c>
      <c r="E9" s="6">
        <f t="shared" ref="E9:L9" si="1">E10+E11+E12+E38</f>
        <v>43.889583333333327</v>
      </c>
      <c r="F9" s="6">
        <f t="shared" si="1"/>
        <v>43.889583333333327</v>
      </c>
      <c r="G9" s="6">
        <f t="shared" si="1"/>
        <v>43.889583333333327</v>
      </c>
      <c r="H9" s="6">
        <f t="shared" si="1"/>
        <v>43.889583333333327</v>
      </c>
      <c r="I9" s="6">
        <f t="shared" si="1"/>
        <v>43.889583333333327</v>
      </c>
      <c r="J9" s="6">
        <f t="shared" si="1"/>
        <v>43.889583333333327</v>
      </c>
      <c r="K9" s="6">
        <f t="shared" si="1"/>
        <v>43.889583333333327</v>
      </c>
      <c r="L9" s="6">
        <f t="shared" si="1"/>
        <v>43.889583333333327</v>
      </c>
      <c r="M9" s="6">
        <f>M10+M11+M12+M38</f>
        <v>5073.5039999999999</v>
      </c>
      <c r="N9" s="6">
        <f t="shared" ref="N9:N72" si="2">M9-D9</f>
        <v>1313.3474971979167</v>
      </c>
      <c r="O9" s="6">
        <f>O10+O11+O12+O38</f>
        <v>5127175.9305809001</v>
      </c>
      <c r="P9" s="2"/>
      <c r="Q9" s="2"/>
      <c r="R9" s="2"/>
    </row>
    <row r="10" spans="1:18" ht="15.75">
      <c r="A10" s="8" t="s">
        <v>22</v>
      </c>
      <c r="B10" s="9" t="s">
        <v>23</v>
      </c>
      <c r="C10" s="10" t="s">
        <v>19</v>
      </c>
      <c r="D10" s="11">
        <f>526.675/12*5</f>
        <v>219.44791666666663</v>
      </c>
      <c r="E10" s="11">
        <f t="shared" ref="E10:L10" si="3">526.675/12</f>
        <v>43.889583333333327</v>
      </c>
      <c r="F10" s="11">
        <f t="shared" si="3"/>
        <v>43.889583333333327</v>
      </c>
      <c r="G10" s="11">
        <f t="shared" si="3"/>
        <v>43.889583333333327</v>
      </c>
      <c r="H10" s="11">
        <f t="shared" si="3"/>
        <v>43.889583333333327</v>
      </c>
      <c r="I10" s="11">
        <f t="shared" si="3"/>
        <v>43.889583333333327</v>
      </c>
      <c r="J10" s="11">
        <f t="shared" si="3"/>
        <v>43.889583333333327</v>
      </c>
      <c r="K10" s="11">
        <f t="shared" si="3"/>
        <v>43.889583333333327</v>
      </c>
      <c r="L10" s="11">
        <f t="shared" si="3"/>
        <v>43.889583333333327</v>
      </c>
      <c r="M10" s="11">
        <v>594.15200000000004</v>
      </c>
      <c r="N10" s="6">
        <f t="shared" si="2"/>
        <v>374.70408333333341</v>
      </c>
      <c r="O10" s="11">
        <f>D10</f>
        <v>219.44791666666663</v>
      </c>
      <c r="P10" s="2"/>
      <c r="Q10" s="2"/>
      <c r="R10" s="2"/>
    </row>
    <row r="11" spans="1:18" ht="15.75">
      <c r="A11" s="8" t="s">
        <v>24</v>
      </c>
      <c r="B11" s="9" t="s">
        <v>25</v>
      </c>
      <c r="C11" s="10" t="s">
        <v>19</v>
      </c>
      <c r="D11" s="12">
        <f>208.34/12*5</f>
        <v>86.808333333333337</v>
      </c>
      <c r="E11" s="54"/>
      <c r="F11" s="54"/>
      <c r="G11" s="54"/>
      <c r="H11" s="55"/>
      <c r="I11" s="55"/>
      <c r="J11" s="55"/>
      <c r="K11" s="55"/>
      <c r="L11" s="55"/>
      <c r="M11" s="56">
        <v>251.46600000000001</v>
      </c>
      <c r="N11" s="6">
        <f t="shared" si="2"/>
        <v>164.65766666666667</v>
      </c>
      <c r="O11" s="11">
        <f t="shared" ref="O11" si="4">D11</f>
        <v>86.808333333333337</v>
      </c>
      <c r="P11" s="2"/>
      <c r="Q11" s="2"/>
      <c r="R11" s="2"/>
    </row>
    <row r="12" spans="1:18" ht="15.75">
      <c r="A12" s="8" t="s">
        <v>26</v>
      </c>
      <c r="B12" s="9" t="s">
        <v>27</v>
      </c>
      <c r="C12" s="10" t="s">
        <v>19</v>
      </c>
      <c r="D12" s="11">
        <f t="shared" ref="D12:L12" si="5">D13+D20+D23</f>
        <v>1287.1238045416667</v>
      </c>
      <c r="E12" s="11">
        <f t="shared" si="5"/>
        <v>0</v>
      </c>
      <c r="F12" s="11">
        <f t="shared" si="5"/>
        <v>0</v>
      </c>
      <c r="G12" s="11">
        <f t="shared" si="5"/>
        <v>0</v>
      </c>
      <c r="H12" s="11">
        <f t="shared" si="5"/>
        <v>0</v>
      </c>
      <c r="I12" s="11">
        <f t="shared" si="5"/>
        <v>0</v>
      </c>
      <c r="J12" s="11">
        <f t="shared" si="5"/>
        <v>0</v>
      </c>
      <c r="K12" s="11">
        <f t="shared" si="5"/>
        <v>0</v>
      </c>
      <c r="L12" s="11">
        <f t="shared" si="5"/>
        <v>0</v>
      </c>
      <c r="M12" s="11">
        <f>M13+M20+M23</f>
        <v>1737.9499999999998</v>
      </c>
      <c r="N12" s="6">
        <f t="shared" si="2"/>
        <v>450.82619545833313</v>
      </c>
      <c r="O12" s="11">
        <f>O13+O20+O23</f>
        <v>2121.2743309000002</v>
      </c>
      <c r="P12" s="2"/>
      <c r="Q12" s="2"/>
      <c r="R12" s="2"/>
    </row>
    <row r="13" spans="1:18" ht="15.75">
      <c r="A13" s="8" t="s">
        <v>28</v>
      </c>
      <c r="B13" s="9" t="s">
        <v>29</v>
      </c>
      <c r="C13" s="10" t="s">
        <v>19</v>
      </c>
      <c r="D13" s="11">
        <f>(D14+D17)/12*5</f>
        <v>809.5675</v>
      </c>
      <c r="E13" s="11">
        <f t="shared" ref="E13:L13" si="6">E14</f>
        <v>0</v>
      </c>
      <c r="F13" s="11">
        <f t="shared" si="6"/>
        <v>0</v>
      </c>
      <c r="G13" s="11">
        <f t="shared" si="6"/>
        <v>0</v>
      </c>
      <c r="H13" s="11">
        <f t="shared" si="6"/>
        <v>0</v>
      </c>
      <c r="I13" s="11">
        <f t="shared" si="6"/>
        <v>0</v>
      </c>
      <c r="J13" s="11">
        <f t="shared" si="6"/>
        <v>0</v>
      </c>
      <c r="K13" s="11">
        <f t="shared" si="6"/>
        <v>0</v>
      </c>
      <c r="L13" s="11">
        <f t="shared" si="6"/>
        <v>0</v>
      </c>
      <c r="M13" s="11">
        <f>513.137+206.183</f>
        <v>719.31999999999994</v>
      </c>
      <c r="N13" s="6">
        <f t="shared" si="2"/>
        <v>-90.247500000000059</v>
      </c>
      <c r="O13" s="11">
        <f t="shared" ref="O13" si="7">O14</f>
        <v>975.13919999999996</v>
      </c>
      <c r="P13" s="2"/>
      <c r="Q13" s="2"/>
      <c r="R13" s="2"/>
    </row>
    <row r="14" spans="1:18" ht="15.75" hidden="1">
      <c r="A14" s="8"/>
      <c r="B14" s="9" t="s">
        <v>30</v>
      </c>
      <c r="C14" s="10" t="s">
        <v>19</v>
      </c>
      <c r="D14" s="20">
        <f>D15*D16/1000</f>
        <v>975.13919999999996</v>
      </c>
      <c r="E14" s="11">
        <f t="shared" ref="E14:M14" si="8">E15*E16/1000</f>
        <v>0</v>
      </c>
      <c r="F14" s="11">
        <f t="shared" si="8"/>
        <v>0</v>
      </c>
      <c r="G14" s="11">
        <f t="shared" si="8"/>
        <v>0</v>
      </c>
      <c r="H14" s="11">
        <f t="shared" si="8"/>
        <v>0</v>
      </c>
      <c r="I14" s="11">
        <f t="shared" si="8"/>
        <v>0</v>
      </c>
      <c r="J14" s="11">
        <f t="shared" si="8"/>
        <v>0</v>
      </c>
      <c r="K14" s="11">
        <f t="shared" si="8"/>
        <v>0</v>
      </c>
      <c r="L14" s="11">
        <f t="shared" si="8"/>
        <v>0</v>
      </c>
      <c r="M14" s="11">
        <f t="shared" si="8"/>
        <v>0</v>
      </c>
      <c r="N14" s="6">
        <f t="shared" si="2"/>
        <v>-975.13919999999996</v>
      </c>
      <c r="O14" s="11">
        <f>O15*O16/1000</f>
        <v>975.13919999999996</v>
      </c>
      <c r="P14" s="2"/>
      <c r="Q14" s="2"/>
      <c r="R14" s="2"/>
    </row>
    <row r="15" spans="1:18" ht="15.75" hidden="1">
      <c r="A15" s="14"/>
      <c r="B15" s="15" t="s">
        <v>31</v>
      </c>
      <c r="C15" s="16" t="s">
        <v>32</v>
      </c>
      <c r="D15" s="57">
        <v>9000</v>
      </c>
      <c r="E15" s="54"/>
      <c r="F15" s="54"/>
      <c r="G15" s="54"/>
      <c r="H15" s="55"/>
      <c r="I15" s="55"/>
      <c r="J15" s="55"/>
      <c r="K15" s="55"/>
      <c r="L15" s="55"/>
      <c r="M15" s="56"/>
      <c r="N15" s="6">
        <f t="shared" si="2"/>
        <v>-9000</v>
      </c>
      <c r="O15" s="18">
        <f>D15</f>
        <v>9000</v>
      </c>
      <c r="P15" s="2"/>
      <c r="Q15" s="2"/>
      <c r="R15" s="2"/>
    </row>
    <row r="16" spans="1:18" ht="15.75" hidden="1">
      <c r="A16" s="14"/>
      <c r="B16" s="15" t="s">
        <v>33</v>
      </c>
      <c r="C16" s="16" t="s">
        <v>34</v>
      </c>
      <c r="D16" s="21">
        <v>108.3488</v>
      </c>
      <c r="E16" s="54"/>
      <c r="F16" s="54"/>
      <c r="G16" s="54"/>
      <c r="H16" s="55"/>
      <c r="I16" s="55"/>
      <c r="J16" s="55"/>
      <c r="K16" s="55"/>
      <c r="L16" s="55"/>
      <c r="M16" s="56"/>
      <c r="N16" s="6">
        <f t="shared" si="2"/>
        <v>-108.3488</v>
      </c>
      <c r="O16" s="18">
        <f>D16</f>
        <v>108.3488</v>
      </c>
      <c r="P16" s="2"/>
      <c r="Q16" s="2"/>
      <c r="R16" s="2"/>
    </row>
    <row r="17" spans="1:18" ht="15.75" hidden="1">
      <c r="A17" s="14"/>
      <c r="B17" s="9" t="s">
        <v>35</v>
      </c>
      <c r="C17" s="10" t="s">
        <v>19</v>
      </c>
      <c r="D17" s="21">
        <f>D18*D19/1000</f>
        <v>967.82279999999992</v>
      </c>
      <c r="E17" s="54"/>
      <c r="F17" s="54"/>
      <c r="G17" s="54"/>
      <c r="H17" s="55"/>
      <c r="I17" s="55"/>
      <c r="J17" s="55"/>
      <c r="K17" s="55"/>
      <c r="L17" s="55"/>
      <c r="M17" s="56"/>
      <c r="N17" s="6">
        <f t="shared" si="2"/>
        <v>-967.82279999999992</v>
      </c>
      <c r="O17" s="18"/>
      <c r="P17" s="2"/>
      <c r="Q17" s="2"/>
      <c r="R17" s="2"/>
    </row>
    <row r="18" spans="1:18" ht="15.75" hidden="1">
      <c r="A18" s="14"/>
      <c r="B18" s="15" t="s">
        <v>31</v>
      </c>
      <c r="C18" s="16" t="s">
        <v>32</v>
      </c>
      <c r="D18" s="57">
        <v>12180</v>
      </c>
      <c r="E18" s="54"/>
      <c r="F18" s="54"/>
      <c r="G18" s="54"/>
      <c r="H18" s="55"/>
      <c r="I18" s="55"/>
      <c r="J18" s="55"/>
      <c r="K18" s="55"/>
      <c r="L18" s="55"/>
      <c r="M18" s="56"/>
      <c r="N18" s="6">
        <f t="shared" si="2"/>
        <v>-12180</v>
      </c>
      <c r="O18" s="18"/>
      <c r="P18" s="2"/>
      <c r="Q18" s="2"/>
      <c r="R18" s="2"/>
    </row>
    <row r="19" spans="1:18" ht="15.75" hidden="1">
      <c r="A19" s="14"/>
      <c r="B19" s="15" t="s">
        <v>33</v>
      </c>
      <c r="C19" s="16" t="s">
        <v>34</v>
      </c>
      <c r="D19" s="21">
        <v>79.459999999999994</v>
      </c>
      <c r="E19" s="54"/>
      <c r="F19" s="54"/>
      <c r="G19" s="54"/>
      <c r="H19" s="55"/>
      <c r="I19" s="55"/>
      <c r="J19" s="55"/>
      <c r="K19" s="55"/>
      <c r="L19" s="55"/>
      <c r="M19" s="56"/>
      <c r="N19" s="6">
        <f t="shared" si="2"/>
        <v>-79.459999999999994</v>
      </c>
      <c r="O19" s="18"/>
      <c r="P19" s="2"/>
      <c r="Q19" s="2"/>
      <c r="R19" s="2"/>
    </row>
    <row r="20" spans="1:18" ht="15.75">
      <c r="A20" s="8" t="s">
        <v>36</v>
      </c>
      <c r="B20" s="9" t="s">
        <v>37</v>
      </c>
      <c r="C20" s="10" t="s">
        <v>19</v>
      </c>
      <c r="D20" s="12">
        <f>D21*D22/1000/12*5</f>
        <v>405.12243750000005</v>
      </c>
      <c r="E20" s="12">
        <f t="shared" ref="E20:O20" si="9">E21*E22/1000</f>
        <v>0</v>
      </c>
      <c r="F20" s="12">
        <f t="shared" si="9"/>
        <v>0</v>
      </c>
      <c r="G20" s="12">
        <f t="shared" si="9"/>
        <v>0</v>
      </c>
      <c r="H20" s="12">
        <f t="shared" si="9"/>
        <v>0</v>
      </c>
      <c r="I20" s="12">
        <f t="shared" si="9"/>
        <v>0</v>
      </c>
      <c r="J20" s="12">
        <f t="shared" si="9"/>
        <v>0</v>
      </c>
      <c r="K20" s="12">
        <f t="shared" si="9"/>
        <v>0</v>
      </c>
      <c r="L20" s="12">
        <f t="shared" si="9"/>
        <v>0</v>
      </c>
      <c r="M20" s="12">
        <v>738.38</v>
      </c>
      <c r="N20" s="6">
        <f t="shared" si="2"/>
        <v>333.25756249999995</v>
      </c>
      <c r="O20" s="12">
        <f t="shared" si="9"/>
        <v>972.29385000000002</v>
      </c>
      <c r="P20" s="2"/>
      <c r="Q20" s="2"/>
      <c r="R20" s="2"/>
    </row>
    <row r="21" spans="1:18" ht="15.75" hidden="1">
      <c r="A21" s="14"/>
      <c r="B21" s="15" t="s">
        <v>31</v>
      </c>
      <c r="C21" s="16" t="s">
        <v>32</v>
      </c>
      <c r="D21" s="17">
        <v>9790</v>
      </c>
      <c r="E21" s="54"/>
      <c r="F21" s="54"/>
      <c r="G21" s="54"/>
      <c r="H21" s="55"/>
      <c r="I21" s="55"/>
      <c r="J21" s="55"/>
      <c r="K21" s="55"/>
      <c r="L21" s="55"/>
      <c r="M21" s="56"/>
      <c r="N21" s="6">
        <f t="shared" si="2"/>
        <v>-9790</v>
      </c>
      <c r="O21" s="20">
        <f>D21</f>
        <v>9790</v>
      </c>
      <c r="P21" s="2"/>
      <c r="Q21" s="2"/>
      <c r="R21" s="2"/>
    </row>
    <row r="22" spans="1:18" ht="15.75" hidden="1">
      <c r="A22" s="14"/>
      <c r="B22" s="15" t="s">
        <v>33</v>
      </c>
      <c r="C22" s="16" t="s">
        <v>34</v>
      </c>
      <c r="D22" s="19">
        <v>99.314999999999998</v>
      </c>
      <c r="E22" s="54"/>
      <c r="F22" s="54"/>
      <c r="G22" s="54"/>
      <c r="H22" s="55"/>
      <c r="I22" s="55"/>
      <c r="J22" s="55"/>
      <c r="K22" s="55"/>
      <c r="L22" s="55"/>
      <c r="M22" s="56"/>
      <c r="N22" s="6">
        <f t="shared" si="2"/>
        <v>-99.314999999999998</v>
      </c>
      <c r="O22" s="12">
        <f>D22</f>
        <v>99.314999999999998</v>
      </c>
      <c r="P22" s="2"/>
      <c r="Q22" s="2"/>
      <c r="R22" s="2"/>
    </row>
    <row r="23" spans="1:18" ht="15.75">
      <c r="A23" s="8" t="s">
        <v>38</v>
      </c>
      <c r="B23" s="9" t="s">
        <v>39</v>
      </c>
      <c r="C23" s="10" t="s">
        <v>19</v>
      </c>
      <c r="D23" s="11">
        <f>D25/12*5</f>
        <v>72.433867041666659</v>
      </c>
      <c r="E23" s="12">
        <f t="shared" ref="E23:L23" si="10">E25</f>
        <v>0</v>
      </c>
      <c r="F23" s="12">
        <f t="shared" si="10"/>
        <v>0</v>
      </c>
      <c r="G23" s="12">
        <f t="shared" si="10"/>
        <v>0</v>
      </c>
      <c r="H23" s="12">
        <f t="shared" si="10"/>
        <v>0</v>
      </c>
      <c r="I23" s="12">
        <f t="shared" si="10"/>
        <v>0</v>
      </c>
      <c r="J23" s="12">
        <f t="shared" si="10"/>
        <v>0</v>
      </c>
      <c r="K23" s="12">
        <f t="shared" si="10"/>
        <v>0</v>
      </c>
      <c r="L23" s="12">
        <f t="shared" si="10"/>
        <v>0</v>
      </c>
      <c r="M23" s="12">
        <v>280.25</v>
      </c>
      <c r="N23" s="6">
        <f t="shared" si="2"/>
        <v>207.81613295833336</v>
      </c>
      <c r="O23" s="12">
        <f>O25</f>
        <v>173.84128089999999</v>
      </c>
      <c r="P23" s="2"/>
      <c r="Q23" s="2"/>
      <c r="R23" s="2"/>
    </row>
    <row r="24" spans="1:18" ht="15.75" hidden="1">
      <c r="A24" s="14"/>
      <c r="B24" s="15" t="s">
        <v>31</v>
      </c>
      <c r="C24" s="16" t="s">
        <v>32</v>
      </c>
      <c r="D24" s="21">
        <f>(D27+D30+D33+D36)</f>
        <v>256.89999999999998</v>
      </c>
      <c r="E24" s="21">
        <f t="shared" ref="E24:O24" si="11">(E27+E30+E33+E36)</f>
        <v>0</v>
      </c>
      <c r="F24" s="21">
        <f t="shared" si="11"/>
        <v>0</v>
      </c>
      <c r="G24" s="21">
        <f t="shared" si="11"/>
        <v>0</v>
      </c>
      <c r="H24" s="21">
        <f t="shared" si="11"/>
        <v>0</v>
      </c>
      <c r="I24" s="21">
        <f t="shared" si="11"/>
        <v>0</v>
      </c>
      <c r="J24" s="21">
        <f t="shared" si="11"/>
        <v>0</v>
      </c>
      <c r="K24" s="21">
        <f t="shared" si="11"/>
        <v>0</v>
      </c>
      <c r="L24" s="21">
        <f t="shared" si="11"/>
        <v>0</v>
      </c>
      <c r="M24" s="21">
        <f t="shared" si="11"/>
        <v>0</v>
      </c>
      <c r="N24" s="6">
        <f t="shared" si="2"/>
        <v>-256.89999999999998</v>
      </c>
      <c r="O24" s="21">
        <f t="shared" si="11"/>
        <v>256.89999999999998</v>
      </c>
      <c r="P24" s="2"/>
      <c r="Q24" s="2"/>
      <c r="R24" s="2"/>
    </row>
    <row r="25" spans="1:18" ht="15.75" hidden="1">
      <c r="A25" s="14"/>
      <c r="B25" s="15" t="s">
        <v>40</v>
      </c>
      <c r="C25" s="10" t="s">
        <v>19</v>
      </c>
      <c r="D25" s="11">
        <f>(D26+D29+D32+D35)</f>
        <v>173.84128089999999</v>
      </c>
      <c r="E25" s="12">
        <f t="shared" ref="E25:O25" si="12">(E26+E29+E32+E35)</f>
        <v>0</v>
      </c>
      <c r="F25" s="12">
        <f t="shared" si="12"/>
        <v>0</v>
      </c>
      <c r="G25" s="12">
        <f t="shared" si="12"/>
        <v>0</v>
      </c>
      <c r="H25" s="12">
        <f t="shared" si="12"/>
        <v>0</v>
      </c>
      <c r="I25" s="12">
        <f t="shared" si="12"/>
        <v>0</v>
      </c>
      <c r="J25" s="12">
        <f t="shared" si="12"/>
        <v>0</v>
      </c>
      <c r="K25" s="12">
        <f t="shared" si="12"/>
        <v>0</v>
      </c>
      <c r="L25" s="12">
        <f t="shared" si="12"/>
        <v>0</v>
      </c>
      <c r="M25" s="12">
        <f t="shared" si="12"/>
        <v>0</v>
      </c>
      <c r="N25" s="6">
        <f t="shared" si="2"/>
        <v>-173.84128089999999</v>
      </c>
      <c r="O25" s="12">
        <f t="shared" si="12"/>
        <v>173.84128089999999</v>
      </c>
      <c r="P25" s="2"/>
      <c r="Q25" s="2"/>
      <c r="R25" s="2"/>
    </row>
    <row r="26" spans="1:18" ht="15.75" hidden="1">
      <c r="A26" s="22"/>
      <c r="B26" s="9" t="s">
        <v>41</v>
      </c>
      <c r="C26" s="10" t="s">
        <v>19</v>
      </c>
      <c r="D26" s="12">
        <f>D28*D27/1000</f>
        <v>128.21684999999999</v>
      </c>
      <c r="E26" s="12">
        <f t="shared" ref="E26:O26" si="13">E28*E27/1000</f>
        <v>0</v>
      </c>
      <c r="F26" s="12">
        <f t="shared" si="13"/>
        <v>0</v>
      </c>
      <c r="G26" s="12">
        <f t="shared" si="13"/>
        <v>0</v>
      </c>
      <c r="H26" s="12">
        <f t="shared" si="13"/>
        <v>0</v>
      </c>
      <c r="I26" s="12">
        <f t="shared" si="13"/>
        <v>0</v>
      </c>
      <c r="J26" s="12">
        <f t="shared" si="13"/>
        <v>0</v>
      </c>
      <c r="K26" s="12">
        <f t="shared" si="13"/>
        <v>0</v>
      </c>
      <c r="L26" s="12">
        <f t="shared" si="13"/>
        <v>0</v>
      </c>
      <c r="M26" s="12">
        <f t="shared" si="13"/>
        <v>0</v>
      </c>
      <c r="N26" s="6">
        <f t="shared" si="2"/>
        <v>-128.21684999999999</v>
      </c>
      <c r="O26" s="12">
        <f t="shared" si="13"/>
        <v>128.21684999999999</v>
      </c>
      <c r="P26" s="2"/>
      <c r="Q26" s="2"/>
      <c r="R26" s="2"/>
    </row>
    <row r="27" spans="1:18" ht="15.75" hidden="1">
      <c r="A27" s="23"/>
      <c r="B27" s="15" t="s">
        <v>31</v>
      </c>
      <c r="C27" s="16" t="s">
        <v>32</v>
      </c>
      <c r="D27" s="24">
        <v>179.5</v>
      </c>
      <c r="E27" s="54"/>
      <c r="F27" s="54"/>
      <c r="G27" s="54"/>
      <c r="H27" s="55"/>
      <c r="I27" s="55"/>
      <c r="J27" s="55"/>
      <c r="K27" s="55"/>
      <c r="L27" s="55"/>
      <c r="M27" s="56"/>
      <c r="N27" s="6">
        <f t="shared" si="2"/>
        <v>-179.5</v>
      </c>
      <c r="O27" s="21">
        <f>D27</f>
        <v>179.5</v>
      </c>
      <c r="P27" s="2"/>
      <c r="Q27" s="2"/>
      <c r="R27" s="2"/>
    </row>
    <row r="28" spans="1:18" ht="15.75" hidden="1">
      <c r="A28" s="23"/>
      <c r="B28" s="15" t="s">
        <v>33</v>
      </c>
      <c r="C28" s="16" t="s">
        <v>34</v>
      </c>
      <c r="D28" s="24">
        <v>714.3</v>
      </c>
      <c r="E28" s="54"/>
      <c r="F28" s="54"/>
      <c r="G28" s="54"/>
      <c r="H28" s="55"/>
      <c r="I28" s="55"/>
      <c r="J28" s="55"/>
      <c r="K28" s="55"/>
      <c r="L28" s="55"/>
      <c r="M28" s="56"/>
      <c r="N28" s="6">
        <f t="shared" si="2"/>
        <v>-714.3</v>
      </c>
      <c r="O28" s="21">
        <f>D28</f>
        <v>714.3</v>
      </c>
      <c r="P28" s="2"/>
      <c r="Q28" s="2"/>
      <c r="R28" s="2"/>
    </row>
    <row r="29" spans="1:18" ht="15.75" hidden="1">
      <c r="A29" s="22"/>
      <c r="B29" s="25" t="s">
        <v>42</v>
      </c>
      <c r="C29" s="10" t="s">
        <v>19</v>
      </c>
      <c r="D29" s="26">
        <f>D30*D31/1000</f>
        <v>34.772835900000004</v>
      </c>
      <c r="E29" s="26">
        <f t="shared" ref="E29:O29" si="14">E30*E31/1000</f>
        <v>0</v>
      </c>
      <c r="F29" s="26">
        <f t="shared" si="14"/>
        <v>0</v>
      </c>
      <c r="G29" s="26">
        <f t="shared" si="14"/>
        <v>0</v>
      </c>
      <c r="H29" s="26">
        <f t="shared" si="14"/>
        <v>0</v>
      </c>
      <c r="I29" s="26">
        <f t="shared" si="14"/>
        <v>0</v>
      </c>
      <c r="J29" s="26">
        <f t="shared" si="14"/>
        <v>0</v>
      </c>
      <c r="K29" s="26">
        <f t="shared" si="14"/>
        <v>0</v>
      </c>
      <c r="L29" s="26">
        <f t="shared" si="14"/>
        <v>0</v>
      </c>
      <c r="M29" s="26">
        <f t="shared" si="14"/>
        <v>0</v>
      </c>
      <c r="N29" s="6">
        <f t="shared" si="2"/>
        <v>-34.772835900000004</v>
      </c>
      <c r="O29" s="26">
        <f t="shared" si="14"/>
        <v>34.772835900000004</v>
      </c>
      <c r="P29" s="2"/>
      <c r="Q29" s="2"/>
      <c r="R29" s="2"/>
    </row>
    <row r="30" spans="1:18" ht="15.75" hidden="1">
      <c r="A30" s="23"/>
      <c r="B30" s="15" t="s">
        <v>31</v>
      </c>
      <c r="C30" s="16" t="s">
        <v>32</v>
      </c>
      <c r="D30" s="27">
        <v>64.900000000000006</v>
      </c>
      <c r="E30" s="54"/>
      <c r="F30" s="54"/>
      <c r="G30" s="54"/>
      <c r="H30" s="55"/>
      <c r="I30" s="55"/>
      <c r="J30" s="55"/>
      <c r="K30" s="55"/>
      <c r="L30" s="55"/>
      <c r="M30" s="56"/>
      <c r="N30" s="6">
        <f t="shared" si="2"/>
        <v>-64.900000000000006</v>
      </c>
      <c r="O30" s="27">
        <f>D30</f>
        <v>64.900000000000006</v>
      </c>
      <c r="P30" s="2"/>
      <c r="Q30" s="2"/>
      <c r="R30" s="2"/>
    </row>
    <row r="31" spans="1:18" ht="15.75" hidden="1">
      <c r="A31" s="23"/>
      <c r="B31" s="15" t="s">
        <v>33</v>
      </c>
      <c r="C31" s="16" t="s">
        <v>34</v>
      </c>
      <c r="D31" s="24">
        <v>535.79100000000005</v>
      </c>
      <c r="E31" s="54"/>
      <c r="F31" s="54"/>
      <c r="G31" s="54"/>
      <c r="H31" s="55"/>
      <c r="I31" s="55"/>
      <c r="J31" s="55"/>
      <c r="K31" s="55"/>
      <c r="L31" s="55"/>
      <c r="M31" s="56"/>
      <c r="N31" s="6">
        <f t="shared" si="2"/>
        <v>-535.79100000000005</v>
      </c>
      <c r="O31" s="27">
        <f>D31</f>
        <v>535.79100000000005</v>
      </c>
      <c r="P31" s="2"/>
      <c r="Q31" s="2"/>
      <c r="R31" s="2"/>
    </row>
    <row r="32" spans="1:18" ht="15.75" hidden="1">
      <c r="A32" s="22"/>
      <c r="B32" s="25" t="s">
        <v>43</v>
      </c>
      <c r="C32" s="10" t="s">
        <v>19</v>
      </c>
      <c r="D32" s="28">
        <f>D33*D34/1000</f>
        <v>10.38335</v>
      </c>
      <c r="E32" s="26">
        <f t="shared" ref="E32:O32" si="15">E33*E34/1000</f>
        <v>0</v>
      </c>
      <c r="F32" s="26">
        <f t="shared" si="15"/>
        <v>0</v>
      </c>
      <c r="G32" s="26">
        <f t="shared" si="15"/>
        <v>0</v>
      </c>
      <c r="H32" s="26">
        <f t="shared" si="15"/>
        <v>0</v>
      </c>
      <c r="I32" s="26">
        <f t="shared" si="15"/>
        <v>0</v>
      </c>
      <c r="J32" s="26">
        <f t="shared" si="15"/>
        <v>0</v>
      </c>
      <c r="K32" s="26">
        <f t="shared" si="15"/>
        <v>0</v>
      </c>
      <c r="L32" s="26">
        <f t="shared" si="15"/>
        <v>0</v>
      </c>
      <c r="M32" s="26">
        <f t="shared" si="15"/>
        <v>0</v>
      </c>
      <c r="N32" s="6">
        <f t="shared" si="2"/>
        <v>-10.38335</v>
      </c>
      <c r="O32" s="26">
        <f t="shared" si="15"/>
        <v>10.38335</v>
      </c>
      <c r="P32" s="2"/>
      <c r="Q32" s="2"/>
      <c r="R32" s="2"/>
    </row>
    <row r="33" spans="1:20" ht="15.75" hidden="1">
      <c r="A33" s="23"/>
      <c r="B33" s="15" t="s">
        <v>31</v>
      </c>
      <c r="C33" s="16" t="s">
        <v>32</v>
      </c>
      <c r="D33" s="27">
        <v>11.5</v>
      </c>
      <c r="E33" s="54"/>
      <c r="F33" s="54"/>
      <c r="G33" s="54"/>
      <c r="H33" s="55"/>
      <c r="I33" s="55"/>
      <c r="J33" s="55"/>
      <c r="K33" s="55"/>
      <c r="L33" s="55"/>
      <c r="M33" s="56"/>
      <c r="N33" s="6">
        <f t="shared" si="2"/>
        <v>-11.5</v>
      </c>
      <c r="O33" s="26">
        <f>D33</f>
        <v>11.5</v>
      </c>
      <c r="P33" s="2"/>
      <c r="Q33" s="2"/>
      <c r="R33" s="2"/>
    </row>
    <row r="34" spans="1:20" ht="15.75" hidden="1">
      <c r="A34" s="23"/>
      <c r="B34" s="15" t="s">
        <v>33</v>
      </c>
      <c r="C34" s="16" t="s">
        <v>34</v>
      </c>
      <c r="D34" s="27">
        <v>902.9</v>
      </c>
      <c r="E34" s="54"/>
      <c r="F34" s="54"/>
      <c r="G34" s="54"/>
      <c r="H34" s="55"/>
      <c r="I34" s="55"/>
      <c r="J34" s="55"/>
      <c r="K34" s="55"/>
      <c r="L34" s="55"/>
      <c r="M34" s="56"/>
      <c r="N34" s="6">
        <f t="shared" si="2"/>
        <v>-902.9</v>
      </c>
      <c r="O34" s="26">
        <f>D34</f>
        <v>902.9</v>
      </c>
      <c r="P34" s="2"/>
      <c r="Q34" s="2"/>
      <c r="R34" s="2"/>
    </row>
    <row r="35" spans="1:20" ht="15.75" hidden="1">
      <c r="A35" s="22"/>
      <c r="B35" s="25" t="s">
        <v>44</v>
      </c>
      <c r="C35" s="10" t="s">
        <v>19</v>
      </c>
      <c r="D35" s="29">
        <f>D36*D37/1000</f>
        <v>0.46824500000000002</v>
      </c>
      <c r="E35" s="26">
        <f t="shared" ref="E35:O35" si="16">E36*E37/1000</f>
        <v>0</v>
      </c>
      <c r="F35" s="26">
        <f t="shared" si="16"/>
        <v>0</v>
      </c>
      <c r="G35" s="26">
        <f t="shared" si="16"/>
        <v>0</v>
      </c>
      <c r="H35" s="26">
        <f t="shared" si="16"/>
        <v>0</v>
      </c>
      <c r="I35" s="26">
        <f t="shared" si="16"/>
        <v>0</v>
      </c>
      <c r="J35" s="26">
        <f t="shared" si="16"/>
        <v>0</v>
      </c>
      <c r="K35" s="26">
        <f t="shared" si="16"/>
        <v>0</v>
      </c>
      <c r="L35" s="26">
        <f t="shared" si="16"/>
        <v>0</v>
      </c>
      <c r="M35" s="26">
        <f t="shared" si="16"/>
        <v>0</v>
      </c>
      <c r="N35" s="6">
        <f t="shared" si="2"/>
        <v>-0.46824500000000002</v>
      </c>
      <c r="O35" s="26">
        <f t="shared" si="16"/>
        <v>0.46824500000000002</v>
      </c>
      <c r="P35" s="2"/>
      <c r="Q35" s="2"/>
      <c r="R35" s="2"/>
    </row>
    <row r="36" spans="1:20" ht="15.75" hidden="1">
      <c r="A36" s="23"/>
      <c r="B36" s="15" t="s">
        <v>31</v>
      </c>
      <c r="C36" s="16" t="s">
        <v>45</v>
      </c>
      <c r="D36" s="24">
        <v>1</v>
      </c>
      <c r="E36" s="54"/>
      <c r="F36" s="54"/>
      <c r="G36" s="54"/>
      <c r="H36" s="55"/>
      <c r="I36" s="55"/>
      <c r="J36" s="55"/>
      <c r="K36" s="55"/>
      <c r="L36" s="55"/>
      <c r="M36" s="56"/>
      <c r="N36" s="6">
        <f t="shared" si="2"/>
        <v>-1</v>
      </c>
      <c r="O36" s="26">
        <f>D36</f>
        <v>1</v>
      </c>
      <c r="P36" s="2"/>
      <c r="Q36" s="2"/>
      <c r="R36" s="2"/>
    </row>
    <row r="37" spans="1:20" ht="15.75" hidden="1">
      <c r="A37" s="23"/>
      <c r="B37" s="15" t="s">
        <v>33</v>
      </c>
      <c r="C37" s="16" t="s">
        <v>34</v>
      </c>
      <c r="D37" s="27">
        <v>468.245</v>
      </c>
      <c r="E37" s="54"/>
      <c r="F37" s="54"/>
      <c r="G37" s="54"/>
      <c r="H37" s="55"/>
      <c r="I37" s="55"/>
      <c r="J37" s="55"/>
      <c r="K37" s="55"/>
      <c r="L37" s="55"/>
      <c r="M37" s="56"/>
      <c r="N37" s="6">
        <f t="shared" si="2"/>
        <v>-468.245</v>
      </c>
      <c r="O37" s="26">
        <f>D37</f>
        <v>468.245</v>
      </c>
      <c r="P37" s="2"/>
      <c r="Q37" s="2"/>
      <c r="R37" s="2"/>
    </row>
    <row r="38" spans="1:20" ht="15.75">
      <c r="A38" s="3" t="s">
        <v>46</v>
      </c>
      <c r="B38" s="30" t="s">
        <v>47</v>
      </c>
      <c r="C38" s="5" t="s">
        <v>19</v>
      </c>
      <c r="D38" s="31">
        <f>D39</f>
        <v>2166.7764482604166</v>
      </c>
      <c r="E38" s="31">
        <f t="shared" ref="E38:O38" si="17">E39</f>
        <v>0</v>
      </c>
      <c r="F38" s="31">
        <f t="shared" si="17"/>
        <v>0</v>
      </c>
      <c r="G38" s="31">
        <f t="shared" si="17"/>
        <v>0</v>
      </c>
      <c r="H38" s="31">
        <f t="shared" si="17"/>
        <v>0</v>
      </c>
      <c r="I38" s="31">
        <f t="shared" si="17"/>
        <v>0</v>
      </c>
      <c r="J38" s="31">
        <f t="shared" si="17"/>
        <v>0</v>
      </c>
      <c r="K38" s="31">
        <f t="shared" si="17"/>
        <v>0</v>
      </c>
      <c r="L38" s="31">
        <f t="shared" si="17"/>
        <v>0</v>
      </c>
      <c r="M38" s="31">
        <f t="shared" si="17"/>
        <v>2489.9360000000001</v>
      </c>
      <c r="N38" s="6">
        <f t="shared" si="2"/>
        <v>323.15955173958355</v>
      </c>
      <c r="O38" s="31">
        <f t="shared" si="17"/>
        <v>5124748.4000000004</v>
      </c>
      <c r="P38" s="2"/>
      <c r="Q38" s="2"/>
      <c r="R38" s="2"/>
    </row>
    <row r="39" spans="1:20" ht="15.75">
      <c r="A39" s="32"/>
      <c r="B39" s="33" t="s">
        <v>40</v>
      </c>
      <c r="C39" s="16" t="s">
        <v>19</v>
      </c>
      <c r="D39" s="34">
        <f>D40*D41/1000/12*5</f>
        <v>2166.7764482604166</v>
      </c>
      <c r="E39" s="34">
        <f t="shared" ref="E39:O39" si="18">E40*E41</f>
        <v>0</v>
      </c>
      <c r="F39" s="34">
        <f t="shared" si="18"/>
        <v>0</v>
      </c>
      <c r="G39" s="34">
        <f t="shared" si="18"/>
        <v>0</v>
      </c>
      <c r="H39" s="34">
        <f t="shared" si="18"/>
        <v>0</v>
      </c>
      <c r="I39" s="34">
        <f t="shared" si="18"/>
        <v>0</v>
      </c>
      <c r="J39" s="34">
        <f t="shared" si="18"/>
        <v>0</v>
      </c>
      <c r="K39" s="34">
        <f t="shared" si="18"/>
        <v>0</v>
      </c>
      <c r="L39" s="34">
        <f t="shared" si="18"/>
        <v>0</v>
      </c>
      <c r="M39" s="34">
        <f>M42+M45+M48</f>
        <v>2489.9360000000001</v>
      </c>
      <c r="N39" s="6">
        <f t="shared" si="2"/>
        <v>323.15955173958355</v>
      </c>
      <c r="O39" s="34">
        <f t="shared" si="18"/>
        <v>5124748.4000000004</v>
      </c>
      <c r="P39" s="2"/>
      <c r="Q39" s="2"/>
      <c r="R39" s="2"/>
    </row>
    <row r="40" spans="1:20" ht="15.75" hidden="1">
      <c r="A40" s="32"/>
      <c r="B40" s="15" t="s">
        <v>31</v>
      </c>
      <c r="C40" s="35" t="s">
        <v>48</v>
      </c>
      <c r="D40" s="36">
        <f>D43+D46+D49</f>
        <v>272593</v>
      </c>
      <c r="E40" s="36">
        <f t="shared" ref="E40:O40" si="19">E43+E46+E49</f>
        <v>0</v>
      </c>
      <c r="F40" s="36">
        <f t="shared" si="19"/>
        <v>0</v>
      </c>
      <c r="G40" s="36">
        <f t="shared" si="19"/>
        <v>0</v>
      </c>
      <c r="H40" s="36">
        <f t="shared" si="19"/>
        <v>0</v>
      </c>
      <c r="I40" s="36">
        <f t="shared" si="19"/>
        <v>0</v>
      </c>
      <c r="J40" s="36">
        <f t="shared" si="19"/>
        <v>0</v>
      </c>
      <c r="K40" s="36">
        <f t="shared" si="19"/>
        <v>0</v>
      </c>
      <c r="L40" s="36">
        <f t="shared" si="19"/>
        <v>0</v>
      </c>
      <c r="M40" s="36">
        <f t="shared" si="19"/>
        <v>0</v>
      </c>
      <c r="N40" s="6">
        <f t="shared" si="2"/>
        <v>-272593</v>
      </c>
      <c r="O40" s="36">
        <f t="shared" si="19"/>
        <v>272593</v>
      </c>
      <c r="P40" s="2"/>
      <c r="Q40" s="2"/>
      <c r="R40" s="2"/>
    </row>
    <row r="41" spans="1:20" ht="15.75" hidden="1">
      <c r="A41" s="32"/>
      <c r="B41" s="15" t="s">
        <v>33</v>
      </c>
      <c r="C41" s="16" t="s">
        <v>34</v>
      </c>
      <c r="D41" s="24">
        <v>19.077024999999999</v>
      </c>
      <c r="E41" s="27">
        <v>18.8</v>
      </c>
      <c r="F41" s="27">
        <v>18.8</v>
      </c>
      <c r="G41" s="27">
        <v>18.8</v>
      </c>
      <c r="H41" s="27">
        <v>18.8</v>
      </c>
      <c r="I41" s="27">
        <v>18.8</v>
      </c>
      <c r="J41" s="27">
        <v>18.8</v>
      </c>
      <c r="K41" s="27">
        <v>18.8</v>
      </c>
      <c r="L41" s="27">
        <v>18.8</v>
      </c>
      <c r="M41" s="27">
        <v>18.8</v>
      </c>
      <c r="N41" s="6">
        <f t="shared" si="2"/>
        <v>-0.2770249999999983</v>
      </c>
      <c r="O41" s="27">
        <v>18.8</v>
      </c>
      <c r="P41" s="2"/>
      <c r="Q41" s="2"/>
      <c r="R41" s="2"/>
    </row>
    <row r="42" spans="1:20" ht="31.5">
      <c r="A42" s="35"/>
      <c r="B42" s="42" t="s">
        <v>49</v>
      </c>
      <c r="C42" s="16" t="s">
        <v>19</v>
      </c>
      <c r="D42" s="27">
        <f>D43*D44/1000/12*5</f>
        <v>689.07483333333334</v>
      </c>
      <c r="E42" s="27">
        <f t="shared" ref="E42:O42" si="20">E43*E44</f>
        <v>0</v>
      </c>
      <c r="F42" s="27">
        <f t="shared" si="20"/>
        <v>0</v>
      </c>
      <c r="G42" s="27">
        <f t="shared" si="20"/>
        <v>0</v>
      </c>
      <c r="H42" s="27">
        <f t="shared" si="20"/>
        <v>0</v>
      </c>
      <c r="I42" s="27">
        <f t="shared" si="20"/>
        <v>0</v>
      </c>
      <c r="J42" s="27">
        <f t="shared" si="20"/>
        <v>0</v>
      </c>
      <c r="K42" s="27">
        <f t="shared" si="20"/>
        <v>0</v>
      </c>
      <c r="L42" s="27">
        <f t="shared" si="20"/>
        <v>0</v>
      </c>
      <c r="M42" s="27">
        <v>1189.0039999999999</v>
      </c>
      <c r="N42" s="6">
        <f t="shared" si="2"/>
        <v>499.92916666666656</v>
      </c>
      <c r="O42" s="27">
        <f t="shared" si="20"/>
        <v>1653779.6</v>
      </c>
      <c r="P42" s="2"/>
      <c r="Q42" s="2"/>
      <c r="R42" s="2"/>
    </row>
    <row r="43" spans="1:20" ht="15.75" hidden="1">
      <c r="A43" s="35"/>
      <c r="B43" s="42" t="s">
        <v>31</v>
      </c>
      <c r="C43" s="16" t="s">
        <v>48</v>
      </c>
      <c r="D43" s="36">
        <v>87967</v>
      </c>
      <c r="E43" s="54"/>
      <c r="F43" s="54"/>
      <c r="G43" s="54"/>
      <c r="H43" s="55"/>
      <c r="I43" s="55"/>
      <c r="J43" s="55"/>
      <c r="K43" s="55"/>
      <c r="L43" s="55"/>
      <c r="M43" s="56"/>
      <c r="N43" s="6">
        <f t="shared" si="2"/>
        <v>-87967</v>
      </c>
      <c r="O43" s="27">
        <f>D43</f>
        <v>87967</v>
      </c>
      <c r="P43" s="2"/>
      <c r="Q43" s="2"/>
      <c r="R43" s="2"/>
    </row>
    <row r="44" spans="1:20" ht="15.75" hidden="1">
      <c r="A44" s="35"/>
      <c r="B44" s="42" t="s">
        <v>33</v>
      </c>
      <c r="C44" s="16" t="s">
        <v>34</v>
      </c>
      <c r="D44" s="27">
        <v>18.8</v>
      </c>
      <c r="E44" s="54"/>
      <c r="F44" s="54"/>
      <c r="G44" s="54"/>
      <c r="H44" s="55"/>
      <c r="I44" s="55"/>
      <c r="J44" s="55"/>
      <c r="K44" s="55"/>
      <c r="L44" s="55"/>
      <c r="M44" s="56"/>
      <c r="N44" s="6">
        <f t="shared" si="2"/>
        <v>-18.8</v>
      </c>
      <c r="O44" s="27">
        <f>D44</f>
        <v>18.8</v>
      </c>
      <c r="P44" s="2"/>
      <c r="Q44" s="2"/>
      <c r="R44" s="2"/>
      <c r="T44" s="37"/>
    </row>
    <row r="45" spans="1:20" ht="31.5">
      <c r="A45" s="35"/>
      <c r="B45" s="42" t="s">
        <v>50</v>
      </c>
      <c r="C45" s="16" t="s">
        <v>19</v>
      </c>
      <c r="D45" s="27">
        <f>D46*D47/1000/12*5</f>
        <v>657.53</v>
      </c>
      <c r="E45" s="27">
        <f t="shared" ref="E45:O45" si="21">E46*E47</f>
        <v>0</v>
      </c>
      <c r="F45" s="27">
        <f t="shared" si="21"/>
        <v>0</v>
      </c>
      <c r="G45" s="27">
        <f t="shared" si="21"/>
        <v>0</v>
      </c>
      <c r="H45" s="27">
        <f t="shared" si="21"/>
        <v>0</v>
      </c>
      <c r="I45" s="27">
        <f t="shared" si="21"/>
        <v>0</v>
      </c>
      <c r="J45" s="27">
        <f t="shared" si="21"/>
        <v>0</v>
      </c>
      <c r="K45" s="27">
        <f t="shared" si="21"/>
        <v>0</v>
      </c>
      <c r="L45" s="27">
        <f t="shared" si="21"/>
        <v>0</v>
      </c>
      <c r="M45" s="27">
        <v>702.06100000000004</v>
      </c>
      <c r="N45" s="6">
        <f t="shared" si="2"/>
        <v>44.531000000000063</v>
      </c>
      <c r="O45" s="27">
        <f t="shared" si="21"/>
        <v>1578072</v>
      </c>
      <c r="P45" s="2"/>
      <c r="Q45" s="2"/>
      <c r="R45" s="2"/>
    </row>
    <row r="46" spans="1:20" ht="15.75" hidden="1">
      <c r="A46" s="35"/>
      <c r="B46" s="42" t="s">
        <v>31</v>
      </c>
      <c r="C46" s="16" t="s">
        <v>48</v>
      </c>
      <c r="D46" s="27">
        <v>83940</v>
      </c>
      <c r="E46" s="54"/>
      <c r="F46" s="54"/>
      <c r="G46" s="54"/>
      <c r="H46" s="55"/>
      <c r="I46" s="55"/>
      <c r="J46" s="55"/>
      <c r="K46" s="55"/>
      <c r="L46" s="55"/>
      <c r="M46" s="56"/>
      <c r="N46" s="6">
        <f t="shared" si="2"/>
        <v>-83940</v>
      </c>
      <c r="O46" s="27">
        <f>D46</f>
        <v>83940</v>
      </c>
      <c r="P46" s="2"/>
      <c r="Q46" s="2"/>
      <c r="R46" s="2"/>
    </row>
    <row r="47" spans="1:20" ht="15.75" hidden="1">
      <c r="A47" s="35"/>
      <c r="B47" s="42" t="s">
        <v>33</v>
      </c>
      <c r="C47" s="16" t="s">
        <v>34</v>
      </c>
      <c r="D47" s="24">
        <v>18.8</v>
      </c>
      <c r="E47" s="54"/>
      <c r="F47" s="54"/>
      <c r="G47" s="54"/>
      <c r="H47" s="55"/>
      <c r="I47" s="55"/>
      <c r="J47" s="55"/>
      <c r="K47" s="55"/>
      <c r="L47" s="55"/>
      <c r="M47" s="56"/>
      <c r="N47" s="6">
        <f t="shared" si="2"/>
        <v>-18.8</v>
      </c>
      <c r="O47" s="27">
        <f>D47</f>
        <v>18.8</v>
      </c>
      <c r="P47" s="2"/>
      <c r="Q47" s="2"/>
      <c r="R47" s="2"/>
    </row>
    <row r="48" spans="1:20" ht="47.25">
      <c r="A48" s="35"/>
      <c r="B48" s="42" t="s">
        <v>51</v>
      </c>
      <c r="C48" s="16" t="s">
        <v>19</v>
      </c>
      <c r="D48" s="27">
        <f>D49*D50/1000/12*5</f>
        <v>820.17137500000001</v>
      </c>
      <c r="E48" s="27">
        <f t="shared" ref="E48:O48" si="22">E49*E50</f>
        <v>0</v>
      </c>
      <c r="F48" s="27">
        <f t="shared" si="22"/>
        <v>0</v>
      </c>
      <c r="G48" s="27">
        <f t="shared" si="22"/>
        <v>0</v>
      </c>
      <c r="H48" s="27">
        <f t="shared" si="22"/>
        <v>0</v>
      </c>
      <c r="I48" s="27">
        <f t="shared" si="22"/>
        <v>0</v>
      </c>
      <c r="J48" s="27">
        <f t="shared" si="22"/>
        <v>0</v>
      </c>
      <c r="K48" s="27">
        <f t="shared" si="22"/>
        <v>0</v>
      </c>
      <c r="L48" s="27">
        <f t="shared" si="22"/>
        <v>0</v>
      </c>
      <c r="M48" s="27">
        <v>598.87099999999998</v>
      </c>
      <c r="N48" s="6">
        <f t="shared" si="2"/>
        <v>-221.30037500000003</v>
      </c>
      <c r="O48" s="27">
        <f t="shared" si="22"/>
        <v>1968411.3</v>
      </c>
      <c r="P48" s="2"/>
      <c r="Q48" s="2"/>
      <c r="R48" s="2"/>
    </row>
    <row r="49" spans="1:20" ht="15.75" hidden="1">
      <c r="A49" s="35"/>
      <c r="B49" s="15" t="s">
        <v>31</v>
      </c>
      <c r="C49" s="16" t="s">
        <v>48</v>
      </c>
      <c r="D49" s="27">
        <v>100686</v>
      </c>
      <c r="E49" s="54"/>
      <c r="F49" s="54"/>
      <c r="G49" s="54"/>
      <c r="H49" s="55"/>
      <c r="I49" s="55"/>
      <c r="J49" s="55"/>
      <c r="K49" s="55"/>
      <c r="L49" s="55"/>
      <c r="M49" s="56"/>
      <c r="N49" s="6">
        <f t="shared" si="2"/>
        <v>-100686</v>
      </c>
      <c r="O49" s="27">
        <f>D49</f>
        <v>100686</v>
      </c>
      <c r="P49" s="2"/>
      <c r="Q49" s="2"/>
      <c r="R49" s="2"/>
    </row>
    <row r="50" spans="1:20" ht="15.75" hidden="1">
      <c r="A50" s="35"/>
      <c r="B50" s="15" t="s">
        <v>33</v>
      </c>
      <c r="C50" s="16" t="s">
        <v>34</v>
      </c>
      <c r="D50" s="27">
        <v>19.55</v>
      </c>
      <c r="E50" s="54"/>
      <c r="F50" s="54"/>
      <c r="G50" s="54"/>
      <c r="H50" s="55"/>
      <c r="I50" s="55"/>
      <c r="J50" s="55"/>
      <c r="K50" s="55"/>
      <c r="L50" s="55"/>
      <c r="M50" s="56"/>
      <c r="N50" s="6">
        <f t="shared" si="2"/>
        <v>-19.55</v>
      </c>
      <c r="O50" s="27">
        <f>D50</f>
        <v>19.55</v>
      </c>
      <c r="P50" s="2"/>
      <c r="Q50" s="2"/>
      <c r="R50" s="2"/>
    </row>
    <row r="51" spans="1:20" ht="15.75">
      <c r="A51" s="3" t="s">
        <v>52</v>
      </c>
      <c r="B51" s="30" t="s">
        <v>53</v>
      </c>
      <c r="C51" s="5" t="s">
        <v>19</v>
      </c>
      <c r="D51" s="38">
        <f>D52+D53</f>
        <v>25652.006275</v>
      </c>
      <c r="E51" s="38">
        <f t="shared" ref="E51:M51" si="23">E52+E53</f>
        <v>0</v>
      </c>
      <c r="F51" s="38">
        <f t="shared" si="23"/>
        <v>0</v>
      </c>
      <c r="G51" s="38">
        <f t="shared" si="23"/>
        <v>0</v>
      </c>
      <c r="H51" s="38">
        <f t="shared" si="23"/>
        <v>0</v>
      </c>
      <c r="I51" s="38">
        <f t="shared" si="23"/>
        <v>0</v>
      </c>
      <c r="J51" s="38">
        <f t="shared" si="23"/>
        <v>0</v>
      </c>
      <c r="K51" s="38">
        <f t="shared" si="23"/>
        <v>0</v>
      </c>
      <c r="L51" s="38">
        <f t="shared" si="23"/>
        <v>0</v>
      </c>
      <c r="M51" s="31">
        <f t="shared" si="23"/>
        <v>22311.656999999999</v>
      </c>
      <c r="N51" s="6">
        <f t="shared" si="2"/>
        <v>-3340.3492750000005</v>
      </c>
      <c r="O51" s="38">
        <f t="shared" ref="O51" si="24">O52+O53</f>
        <v>25652.006275</v>
      </c>
      <c r="P51" s="2"/>
      <c r="Q51" s="2"/>
      <c r="R51" s="2"/>
    </row>
    <row r="52" spans="1:20" ht="31.5">
      <c r="A52" s="39" t="s">
        <v>54</v>
      </c>
      <c r="B52" s="9" t="s">
        <v>55</v>
      </c>
      <c r="C52" s="10" t="s">
        <v>19</v>
      </c>
      <c r="D52" s="26">
        <f>56018.94/12*5</f>
        <v>23341.224999999999</v>
      </c>
      <c r="E52" s="54"/>
      <c r="F52" s="54"/>
      <c r="G52" s="54"/>
      <c r="H52" s="55"/>
      <c r="I52" s="55"/>
      <c r="J52" s="55"/>
      <c r="K52" s="55"/>
      <c r="L52" s="55"/>
      <c r="M52" s="53">
        <v>20324.922999999999</v>
      </c>
      <c r="N52" s="6">
        <f t="shared" si="2"/>
        <v>-3016.3019999999997</v>
      </c>
      <c r="O52" s="26">
        <f>D52</f>
        <v>23341.224999999999</v>
      </c>
      <c r="P52" s="2"/>
      <c r="Q52" s="2"/>
      <c r="R52" s="2"/>
      <c r="T52" s="40"/>
    </row>
    <row r="53" spans="1:20" ht="15.75">
      <c r="A53" s="39" t="s">
        <v>56</v>
      </c>
      <c r="B53" s="25" t="s">
        <v>57</v>
      </c>
      <c r="C53" s="10" t="s">
        <v>19</v>
      </c>
      <c r="D53" s="26">
        <f>(D54+D55)</f>
        <v>2310.7812750000003</v>
      </c>
      <c r="E53" s="26">
        <f t="shared" ref="E53:M53" si="25">(E54+E55)</f>
        <v>0</v>
      </c>
      <c r="F53" s="26">
        <f t="shared" si="25"/>
        <v>0</v>
      </c>
      <c r="G53" s="26">
        <f t="shared" si="25"/>
        <v>0</v>
      </c>
      <c r="H53" s="26">
        <f t="shared" si="25"/>
        <v>0</v>
      </c>
      <c r="I53" s="26">
        <f t="shared" si="25"/>
        <v>0</v>
      </c>
      <c r="J53" s="26">
        <f t="shared" si="25"/>
        <v>0</v>
      </c>
      <c r="K53" s="26">
        <f t="shared" si="25"/>
        <v>0</v>
      </c>
      <c r="L53" s="26">
        <f t="shared" si="25"/>
        <v>0</v>
      </c>
      <c r="M53" s="26">
        <f t="shared" si="25"/>
        <v>1986.7339999999999</v>
      </c>
      <c r="N53" s="6">
        <f t="shared" si="2"/>
        <v>-324.04727500000035</v>
      </c>
      <c r="O53" s="26">
        <f>D53</f>
        <v>2310.7812750000003</v>
      </c>
      <c r="P53" s="2"/>
      <c r="Q53" s="2"/>
      <c r="R53" s="2"/>
    </row>
    <row r="54" spans="1:20" ht="15.75">
      <c r="A54" s="35" t="s">
        <v>58</v>
      </c>
      <c r="B54" s="33" t="s">
        <v>59</v>
      </c>
      <c r="C54" s="16" t="s">
        <v>19</v>
      </c>
      <c r="D54" s="27">
        <f>2520.8523/12*5</f>
        <v>1050.355125</v>
      </c>
      <c r="E54" s="54"/>
      <c r="F54" s="54"/>
      <c r="G54" s="54"/>
      <c r="H54" s="55"/>
      <c r="I54" s="55"/>
      <c r="J54" s="55"/>
      <c r="K54" s="55"/>
      <c r="L54" s="55"/>
      <c r="M54" s="56">
        <v>878.44799999999998</v>
      </c>
      <c r="N54" s="6">
        <f t="shared" si="2"/>
        <v>-171.90712500000006</v>
      </c>
      <c r="O54" s="26">
        <f t="shared" ref="O54:O55" si="26">D54</f>
        <v>1050.355125</v>
      </c>
      <c r="P54" s="2"/>
      <c r="Q54" s="2"/>
      <c r="R54" s="2"/>
    </row>
    <row r="55" spans="1:20" ht="15.75">
      <c r="A55" s="35" t="s">
        <v>60</v>
      </c>
      <c r="B55" s="33" t="s">
        <v>61</v>
      </c>
      <c r="C55" s="16" t="s">
        <v>19</v>
      </c>
      <c r="D55" s="27">
        <f>3025.02276/12*5</f>
        <v>1260.42615</v>
      </c>
      <c r="E55" s="54"/>
      <c r="F55" s="54"/>
      <c r="G55" s="54"/>
      <c r="H55" s="55"/>
      <c r="I55" s="55"/>
      <c r="J55" s="55"/>
      <c r="K55" s="55"/>
      <c r="L55" s="55"/>
      <c r="M55" s="56">
        <v>1108.2860000000001</v>
      </c>
      <c r="N55" s="6">
        <f t="shared" si="2"/>
        <v>-152.14014999999995</v>
      </c>
      <c r="O55" s="26">
        <f t="shared" si="26"/>
        <v>1260.42615</v>
      </c>
      <c r="P55" s="2"/>
      <c r="Q55" s="2"/>
      <c r="R55" s="2"/>
    </row>
    <row r="56" spans="1:20" ht="15.75">
      <c r="A56" s="3" t="s">
        <v>62</v>
      </c>
      <c r="B56" s="30" t="s">
        <v>63</v>
      </c>
      <c r="C56" s="5" t="s">
        <v>19</v>
      </c>
      <c r="D56" s="38">
        <f>22207.23/12*5</f>
        <v>9253.0125000000007</v>
      </c>
      <c r="E56" s="54"/>
      <c r="F56" s="54"/>
      <c r="G56" s="54"/>
      <c r="H56" s="55"/>
      <c r="I56" s="55"/>
      <c r="J56" s="55"/>
      <c r="K56" s="55"/>
      <c r="L56" s="55"/>
      <c r="M56" s="56">
        <v>3534.8139999999999</v>
      </c>
      <c r="N56" s="6">
        <f t="shared" si="2"/>
        <v>-5718.1985000000004</v>
      </c>
      <c r="O56" s="38">
        <f>D56</f>
        <v>9253.0125000000007</v>
      </c>
      <c r="P56" s="2"/>
      <c r="Q56" s="2"/>
      <c r="R56" s="2"/>
    </row>
    <row r="57" spans="1:20" ht="47.25">
      <c r="A57" s="3" t="s">
        <v>64</v>
      </c>
      <c r="B57" s="4" t="s">
        <v>65</v>
      </c>
      <c r="C57" s="5" t="s">
        <v>19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92</v>
      </c>
      <c r="N57" s="6">
        <f t="shared" si="2"/>
        <v>92</v>
      </c>
      <c r="O57" s="41">
        <v>0</v>
      </c>
      <c r="P57" s="2"/>
      <c r="Q57" s="2"/>
      <c r="R57" s="2"/>
    </row>
    <row r="58" spans="1:20" ht="15.75">
      <c r="A58" s="3" t="s">
        <v>66</v>
      </c>
      <c r="B58" s="30" t="s">
        <v>67</v>
      </c>
      <c r="C58" s="5" t="s">
        <v>19</v>
      </c>
      <c r="D58" s="31">
        <f>D59+D60+D64+D75+D76+D79</f>
        <v>980.43437500000005</v>
      </c>
      <c r="E58" s="31">
        <f t="shared" ref="E58:O58" si="27">E59+E60+E64+E75+E76+E79</f>
        <v>0</v>
      </c>
      <c r="F58" s="31">
        <f t="shared" si="27"/>
        <v>0</v>
      </c>
      <c r="G58" s="31">
        <f t="shared" si="27"/>
        <v>0</v>
      </c>
      <c r="H58" s="31">
        <f t="shared" si="27"/>
        <v>0</v>
      </c>
      <c r="I58" s="31">
        <f t="shared" si="27"/>
        <v>0</v>
      </c>
      <c r="J58" s="31">
        <f t="shared" si="27"/>
        <v>0</v>
      </c>
      <c r="K58" s="31">
        <f t="shared" si="27"/>
        <v>0</v>
      </c>
      <c r="L58" s="31">
        <f t="shared" si="27"/>
        <v>0</v>
      </c>
      <c r="M58" s="31">
        <f t="shared" si="27"/>
        <v>1298.951</v>
      </c>
      <c r="N58" s="6">
        <f t="shared" si="2"/>
        <v>318.51662499999998</v>
      </c>
      <c r="O58" s="31">
        <f t="shared" si="27"/>
        <v>980.43437500000005</v>
      </c>
      <c r="P58" s="2"/>
      <c r="Q58" s="2"/>
      <c r="R58" s="2"/>
    </row>
    <row r="59" spans="1:20" ht="15.75">
      <c r="A59" s="39" t="s">
        <v>68</v>
      </c>
      <c r="B59" s="25" t="s">
        <v>69</v>
      </c>
      <c r="C59" s="10" t="s">
        <v>19</v>
      </c>
      <c r="D59" s="28">
        <f>58.859/12*5</f>
        <v>24.524583333333332</v>
      </c>
      <c r="E59" s="54"/>
      <c r="F59" s="54"/>
      <c r="G59" s="54"/>
      <c r="H59" s="55"/>
      <c r="I59" s="55"/>
      <c r="J59" s="55"/>
      <c r="K59" s="55"/>
      <c r="L59" s="55"/>
      <c r="M59" s="56">
        <v>41.539000000000001</v>
      </c>
      <c r="N59" s="6">
        <f t="shared" si="2"/>
        <v>17.014416666666669</v>
      </c>
      <c r="O59" s="31">
        <f>D59</f>
        <v>24.524583333333332</v>
      </c>
      <c r="P59" s="2"/>
      <c r="Q59" s="2"/>
      <c r="R59" s="2"/>
    </row>
    <row r="60" spans="1:20" ht="15.75">
      <c r="A60" s="39" t="s">
        <v>70</v>
      </c>
      <c r="B60" s="25" t="s">
        <v>71</v>
      </c>
      <c r="C60" s="10" t="s">
        <v>19</v>
      </c>
      <c r="D60" s="28">
        <f>647.499/12*5</f>
        <v>269.79124999999999</v>
      </c>
      <c r="E60" s="54"/>
      <c r="F60" s="54"/>
      <c r="G60" s="54"/>
      <c r="H60" s="55"/>
      <c r="I60" s="55"/>
      <c r="J60" s="55"/>
      <c r="K60" s="55"/>
      <c r="L60" s="55"/>
      <c r="M60" s="56">
        <v>756.10299999999995</v>
      </c>
      <c r="N60" s="6">
        <f t="shared" si="2"/>
        <v>486.31174999999996</v>
      </c>
      <c r="O60" s="31">
        <f t="shared" ref="O60:O64" si="28">D60</f>
        <v>269.79124999999999</v>
      </c>
      <c r="P60" s="2"/>
      <c r="Q60" s="2"/>
      <c r="R60" s="2"/>
    </row>
    <row r="61" spans="1:20" ht="15.75" hidden="1">
      <c r="A61" s="35" t="s">
        <v>72</v>
      </c>
      <c r="B61" s="42" t="s">
        <v>73</v>
      </c>
      <c r="C61" s="16" t="s">
        <v>19</v>
      </c>
      <c r="D61" s="27"/>
      <c r="E61" s="54"/>
      <c r="F61" s="54"/>
      <c r="G61" s="54"/>
      <c r="H61" s="55"/>
      <c r="I61" s="55"/>
      <c r="J61" s="55"/>
      <c r="K61" s="55"/>
      <c r="L61" s="55"/>
      <c r="M61" s="56"/>
      <c r="N61" s="6">
        <f t="shared" si="2"/>
        <v>0</v>
      </c>
      <c r="O61" s="31">
        <f t="shared" si="28"/>
        <v>0</v>
      </c>
      <c r="P61" s="2"/>
      <c r="Q61" s="2"/>
      <c r="R61" s="2"/>
    </row>
    <row r="62" spans="1:20" ht="15.75" hidden="1">
      <c r="A62" s="35" t="s">
        <v>74</v>
      </c>
      <c r="B62" s="42" t="s">
        <v>75</v>
      </c>
      <c r="C62" s="16" t="s">
        <v>19</v>
      </c>
      <c r="D62" s="27"/>
      <c r="E62" s="54"/>
      <c r="F62" s="54"/>
      <c r="G62" s="54"/>
      <c r="H62" s="55"/>
      <c r="I62" s="55"/>
      <c r="J62" s="55"/>
      <c r="K62" s="55"/>
      <c r="L62" s="55"/>
      <c r="M62" s="56"/>
      <c r="N62" s="6">
        <f t="shared" si="2"/>
        <v>0</v>
      </c>
      <c r="O62" s="31">
        <f t="shared" si="28"/>
        <v>0</v>
      </c>
      <c r="P62" s="2"/>
      <c r="Q62" s="2"/>
      <c r="R62" s="2"/>
    </row>
    <row r="63" spans="1:20" ht="15.75" hidden="1">
      <c r="A63" s="35" t="s">
        <v>76</v>
      </c>
      <c r="B63" s="42" t="s">
        <v>77</v>
      </c>
      <c r="C63" s="16" t="s">
        <v>19</v>
      </c>
      <c r="D63" s="27"/>
      <c r="E63" s="54"/>
      <c r="F63" s="54"/>
      <c r="G63" s="54"/>
      <c r="H63" s="55"/>
      <c r="I63" s="55"/>
      <c r="J63" s="55"/>
      <c r="K63" s="55"/>
      <c r="L63" s="55"/>
      <c r="M63" s="56"/>
      <c r="N63" s="6">
        <f t="shared" si="2"/>
        <v>0</v>
      </c>
      <c r="O63" s="31">
        <f t="shared" si="28"/>
        <v>0</v>
      </c>
      <c r="P63" s="2"/>
      <c r="Q63" s="2"/>
      <c r="R63" s="2"/>
    </row>
    <row r="64" spans="1:20" ht="15.75">
      <c r="A64" s="39" t="s">
        <v>78</v>
      </c>
      <c r="B64" s="25" t="s">
        <v>79</v>
      </c>
      <c r="C64" s="10" t="s">
        <v>19</v>
      </c>
      <c r="D64" s="28">
        <f>D65+D72+D73+D74</f>
        <v>686.11854166666672</v>
      </c>
      <c r="E64" s="28">
        <f t="shared" ref="E64:M64" si="29">E65+E72+E73+E74</f>
        <v>0</v>
      </c>
      <c r="F64" s="28">
        <f t="shared" si="29"/>
        <v>0</v>
      </c>
      <c r="G64" s="28">
        <f t="shared" si="29"/>
        <v>0</v>
      </c>
      <c r="H64" s="28">
        <f t="shared" si="29"/>
        <v>0</v>
      </c>
      <c r="I64" s="28">
        <f t="shared" si="29"/>
        <v>0</v>
      </c>
      <c r="J64" s="28">
        <f t="shared" si="29"/>
        <v>0</v>
      </c>
      <c r="K64" s="28">
        <f t="shared" si="29"/>
        <v>0</v>
      </c>
      <c r="L64" s="28">
        <f t="shared" si="29"/>
        <v>0</v>
      </c>
      <c r="M64" s="28">
        <f t="shared" si="29"/>
        <v>434.30899999999997</v>
      </c>
      <c r="N64" s="6">
        <f t="shared" si="2"/>
        <v>-251.80954166666675</v>
      </c>
      <c r="O64" s="31">
        <f t="shared" si="28"/>
        <v>686.11854166666672</v>
      </c>
      <c r="P64" s="2"/>
      <c r="Q64" s="2"/>
      <c r="R64" s="2"/>
    </row>
    <row r="65" spans="1:18" ht="15.75">
      <c r="A65" s="39" t="s">
        <v>80</v>
      </c>
      <c r="B65" s="25" t="s">
        <v>81</v>
      </c>
      <c r="C65" s="10" t="s">
        <v>19</v>
      </c>
      <c r="D65" s="26">
        <f>SUM(D66:D71)/12*5</f>
        <v>594.73770833333333</v>
      </c>
      <c r="E65" s="54"/>
      <c r="F65" s="54"/>
      <c r="G65" s="54"/>
      <c r="H65" s="55"/>
      <c r="I65" s="55"/>
      <c r="J65" s="55"/>
      <c r="K65" s="55"/>
      <c r="L65" s="55"/>
      <c r="M65" s="56">
        <v>117.092</v>
      </c>
      <c r="N65" s="6">
        <f t="shared" si="2"/>
        <v>-477.64570833333335</v>
      </c>
      <c r="O65" s="2"/>
      <c r="P65" s="2"/>
      <c r="Q65" s="2"/>
      <c r="R65" s="2"/>
    </row>
    <row r="66" spans="1:18" ht="63" hidden="1">
      <c r="A66" s="35" t="s">
        <v>82</v>
      </c>
      <c r="B66" s="42" t="s">
        <v>83</v>
      </c>
      <c r="C66" s="16" t="s">
        <v>19</v>
      </c>
      <c r="D66" s="34">
        <f>434.494</f>
        <v>434.49400000000003</v>
      </c>
      <c r="E66" s="54"/>
      <c r="F66" s="54"/>
      <c r="G66" s="54"/>
      <c r="H66" s="55"/>
      <c r="I66" s="55"/>
      <c r="J66" s="55"/>
      <c r="K66" s="55"/>
      <c r="L66" s="55"/>
      <c r="M66" s="56"/>
      <c r="N66" s="6">
        <f t="shared" si="2"/>
        <v>-434.49400000000003</v>
      </c>
      <c r="O66" s="2"/>
      <c r="P66" s="2"/>
      <c r="Q66" s="2"/>
      <c r="R66" s="2"/>
    </row>
    <row r="67" spans="1:18" ht="31.5" hidden="1">
      <c r="A67" s="35" t="s">
        <v>84</v>
      </c>
      <c r="B67" s="42" t="s">
        <v>85</v>
      </c>
      <c r="C67" s="16" t="s">
        <v>19</v>
      </c>
      <c r="D67" s="34">
        <f>76.18</f>
        <v>76.180000000000007</v>
      </c>
      <c r="E67" s="54"/>
      <c r="F67" s="54"/>
      <c r="G67" s="54"/>
      <c r="H67" s="55"/>
      <c r="I67" s="55"/>
      <c r="J67" s="55"/>
      <c r="K67" s="55"/>
      <c r="L67" s="55"/>
      <c r="M67" s="56"/>
      <c r="N67" s="6">
        <f t="shared" si="2"/>
        <v>-76.180000000000007</v>
      </c>
      <c r="O67" s="2"/>
      <c r="P67" s="2"/>
      <c r="Q67" s="2"/>
      <c r="R67" s="2"/>
    </row>
    <row r="68" spans="1:18" ht="31.5" hidden="1">
      <c r="A68" s="35" t="s">
        <v>86</v>
      </c>
      <c r="B68" s="42" t="s">
        <v>87</v>
      </c>
      <c r="C68" s="16" t="s">
        <v>19</v>
      </c>
      <c r="D68" s="34">
        <f>23.93</f>
        <v>23.93</v>
      </c>
      <c r="E68" s="54"/>
      <c r="F68" s="54"/>
      <c r="G68" s="54"/>
      <c r="H68" s="55"/>
      <c r="I68" s="55"/>
      <c r="J68" s="55"/>
      <c r="K68" s="55"/>
      <c r="L68" s="55"/>
      <c r="M68" s="56"/>
      <c r="N68" s="6">
        <f t="shared" si="2"/>
        <v>-23.93</v>
      </c>
      <c r="O68" s="2"/>
      <c r="P68" s="2"/>
      <c r="Q68" s="2"/>
      <c r="R68" s="2"/>
    </row>
    <row r="69" spans="1:18" ht="15.75" hidden="1">
      <c r="A69" s="35" t="s">
        <v>88</v>
      </c>
      <c r="B69" s="42" t="s">
        <v>89</v>
      </c>
      <c r="C69" s="16" t="s">
        <v>19</v>
      </c>
      <c r="D69" s="27">
        <f>454</f>
        <v>454</v>
      </c>
      <c r="E69" s="54"/>
      <c r="F69" s="54"/>
      <c r="G69" s="54"/>
      <c r="H69" s="55"/>
      <c r="I69" s="55"/>
      <c r="J69" s="55"/>
      <c r="K69" s="55"/>
      <c r="L69" s="55"/>
      <c r="M69" s="56"/>
      <c r="N69" s="6">
        <f t="shared" si="2"/>
        <v>-454</v>
      </c>
      <c r="O69" s="2"/>
      <c r="P69" s="2"/>
      <c r="Q69" s="2"/>
      <c r="R69" s="2"/>
    </row>
    <row r="70" spans="1:18" ht="78.75" hidden="1">
      <c r="A70" s="35" t="s">
        <v>90</v>
      </c>
      <c r="B70" s="42" t="s">
        <v>91</v>
      </c>
      <c r="C70" s="16" t="s">
        <v>19</v>
      </c>
      <c r="D70" s="34">
        <f>230.0519</f>
        <v>230.05189999999999</v>
      </c>
      <c r="E70" s="54"/>
      <c r="F70" s="54"/>
      <c r="G70" s="54"/>
      <c r="H70" s="55"/>
      <c r="I70" s="55"/>
      <c r="J70" s="55"/>
      <c r="K70" s="55"/>
      <c r="L70" s="55"/>
      <c r="M70" s="56"/>
      <c r="N70" s="6">
        <f t="shared" si="2"/>
        <v>-230.05189999999999</v>
      </c>
      <c r="O70" s="2"/>
      <c r="P70" s="2"/>
      <c r="Q70" s="2"/>
      <c r="R70" s="2"/>
    </row>
    <row r="71" spans="1:18" ht="31.5" hidden="1">
      <c r="A71" s="35" t="s">
        <v>92</v>
      </c>
      <c r="B71" s="42" t="s">
        <v>93</v>
      </c>
      <c r="C71" s="16" t="s">
        <v>19</v>
      </c>
      <c r="D71" s="27">
        <f>208.7146</f>
        <v>208.71459999999999</v>
      </c>
      <c r="E71" s="54"/>
      <c r="F71" s="54"/>
      <c r="G71" s="54"/>
      <c r="H71" s="55"/>
      <c r="I71" s="55"/>
      <c r="J71" s="55"/>
      <c r="K71" s="55"/>
      <c r="L71" s="55"/>
      <c r="M71" s="56"/>
      <c r="N71" s="6">
        <f t="shared" si="2"/>
        <v>-208.71459999999999</v>
      </c>
      <c r="O71" s="2"/>
      <c r="P71" s="2"/>
      <c r="Q71" s="2"/>
      <c r="R71" s="2"/>
    </row>
    <row r="72" spans="1:18" ht="15.75">
      <c r="A72" s="39" t="s">
        <v>94</v>
      </c>
      <c r="B72" s="9" t="s">
        <v>95</v>
      </c>
      <c r="C72" s="10" t="s">
        <v>19</v>
      </c>
      <c r="D72" s="34">
        <f>144.314/12*5</f>
        <v>60.130833333333335</v>
      </c>
      <c r="E72" s="54"/>
      <c r="F72" s="54"/>
      <c r="G72" s="54"/>
      <c r="H72" s="55"/>
      <c r="I72" s="55"/>
      <c r="J72" s="55"/>
      <c r="K72" s="55"/>
      <c r="L72" s="55"/>
      <c r="M72" s="56">
        <v>258.81700000000001</v>
      </c>
      <c r="N72" s="6">
        <f t="shared" si="2"/>
        <v>198.68616666666668</v>
      </c>
      <c r="O72" s="2"/>
      <c r="P72" s="2"/>
      <c r="Q72" s="2"/>
      <c r="R72" s="2"/>
    </row>
    <row r="73" spans="1:18" ht="31.5">
      <c r="A73" s="39" t="s">
        <v>96</v>
      </c>
      <c r="B73" s="9" t="s">
        <v>97</v>
      </c>
      <c r="C73" s="10" t="s">
        <v>19</v>
      </c>
      <c r="D73" s="29">
        <f>75/12*5</f>
        <v>31.25</v>
      </c>
      <c r="E73" s="54"/>
      <c r="F73" s="54"/>
      <c r="G73" s="54"/>
      <c r="H73" s="55"/>
      <c r="I73" s="55"/>
      <c r="J73" s="55"/>
      <c r="K73" s="55"/>
      <c r="L73" s="55"/>
      <c r="M73" s="56"/>
      <c r="N73" s="6">
        <f t="shared" ref="N73:N136" si="30">M73-D73</f>
        <v>-31.25</v>
      </c>
      <c r="O73" s="2"/>
      <c r="P73" s="2"/>
      <c r="Q73" s="2"/>
      <c r="R73" s="2"/>
    </row>
    <row r="74" spans="1:18" ht="31.5">
      <c r="A74" s="39" t="s">
        <v>98</v>
      </c>
      <c r="B74" s="9" t="s">
        <v>99</v>
      </c>
      <c r="C74" s="10" t="s">
        <v>19</v>
      </c>
      <c r="D74" s="26"/>
      <c r="E74" s="54"/>
      <c r="F74" s="54"/>
      <c r="G74" s="54"/>
      <c r="H74" s="55"/>
      <c r="I74" s="55"/>
      <c r="J74" s="55"/>
      <c r="K74" s="55"/>
      <c r="L74" s="55"/>
      <c r="M74" s="53">
        <v>58.4</v>
      </c>
      <c r="N74" s="6">
        <f t="shared" si="30"/>
        <v>58.4</v>
      </c>
      <c r="O74" s="2"/>
      <c r="P74" s="2"/>
      <c r="Q74" s="2"/>
      <c r="R74" s="2"/>
    </row>
    <row r="75" spans="1:18" ht="15.75">
      <c r="A75" s="39" t="s">
        <v>100</v>
      </c>
      <c r="B75" s="9" t="s">
        <v>101</v>
      </c>
      <c r="C75" s="10" t="s">
        <v>19</v>
      </c>
      <c r="D75" s="26"/>
      <c r="E75" s="54"/>
      <c r="F75" s="54"/>
      <c r="G75" s="54"/>
      <c r="H75" s="55"/>
      <c r="I75" s="55"/>
      <c r="J75" s="55"/>
      <c r="K75" s="55"/>
      <c r="L75" s="55"/>
      <c r="M75" s="53">
        <v>67</v>
      </c>
      <c r="N75" s="6">
        <f t="shared" si="30"/>
        <v>67</v>
      </c>
      <c r="O75" s="2"/>
      <c r="P75" s="2"/>
      <c r="Q75" s="2"/>
      <c r="R75" s="2"/>
    </row>
    <row r="76" spans="1:18" ht="15.75">
      <c r="A76" s="39" t="s">
        <v>102</v>
      </c>
      <c r="B76" s="9" t="s">
        <v>103</v>
      </c>
      <c r="C76" s="10" t="s">
        <v>19</v>
      </c>
      <c r="D76" s="26"/>
      <c r="E76" s="54"/>
      <c r="F76" s="54"/>
      <c r="G76" s="54"/>
      <c r="H76" s="55"/>
      <c r="I76" s="55"/>
      <c r="J76" s="55"/>
      <c r="K76" s="55"/>
      <c r="L76" s="55"/>
      <c r="M76" s="56"/>
      <c r="N76" s="6">
        <f t="shared" si="30"/>
        <v>0</v>
      </c>
      <c r="O76" s="2"/>
      <c r="P76" s="2"/>
      <c r="Q76" s="2"/>
      <c r="R76" s="2"/>
    </row>
    <row r="77" spans="1:18" ht="15.75" hidden="1">
      <c r="A77" s="39" t="s">
        <v>104</v>
      </c>
      <c r="B77" s="9" t="s">
        <v>105</v>
      </c>
      <c r="C77" s="10" t="s">
        <v>19</v>
      </c>
      <c r="D77" s="26"/>
      <c r="E77" s="54"/>
      <c r="F77" s="54"/>
      <c r="G77" s="54"/>
      <c r="H77" s="55"/>
      <c r="I77" s="55"/>
      <c r="J77" s="55"/>
      <c r="K77" s="55"/>
      <c r="L77" s="55"/>
      <c r="M77" s="56"/>
      <c r="N77" s="6">
        <f t="shared" si="30"/>
        <v>0</v>
      </c>
      <c r="O77" s="2"/>
      <c r="P77" s="2"/>
      <c r="Q77" s="2"/>
      <c r="R77" s="2"/>
    </row>
    <row r="78" spans="1:18" ht="15.75" hidden="1">
      <c r="A78" s="39" t="s">
        <v>106</v>
      </c>
      <c r="B78" s="9" t="s">
        <v>107</v>
      </c>
      <c r="C78" s="10" t="s">
        <v>19</v>
      </c>
      <c r="D78" s="26"/>
      <c r="E78" s="54"/>
      <c r="F78" s="54"/>
      <c r="G78" s="54"/>
      <c r="H78" s="55"/>
      <c r="I78" s="55"/>
      <c r="J78" s="55"/>
      <c r="K78" s="55"/>
      <c r="L78" s="55"/>
      <c r="M78" s="56"/>
      <c r="N78" s="6">
        <f t="shared" si="30"/>
        <v>0</v>
      </c>
      <c r="O78" s="2"/>
      <c r="P78" s="2"/>
      <c r="Q78" s="2"/>
      <c r="R78" s="2"/>
    </row>
    <row r="79" spans="1:18" ht="15.75" hidden="1">
      <c r="A79" s="39" t="s">
        <v>108</v>
      </c>
      <c r="B79" s="9" t="s">
        <v>109</v>
      </c>
      <c r="C79" s="10" t="s">
        <v>19</v>
      </c>
      <c r="D79" s="26"/>
      <c r="E79" s="54"/>
      <c r="F79" s="54"/>
      <c r="G79" s="54"/>
      <c r="H79" s="55"/>
      <c r="I79" s="55"/>
      <c r="J79" s="55"/>
      <c r="K79" s="55"/>
      <c r="L79" s="55"/>
      <c r="M79" s="56"/>
      <c r="N79" s="6">
        <f t="shared" si="30"/>
        <v>0</v>
      </c>
      <c r="O79" s="2"/>
      <c r="P79" s="2"/>
      <c r="Q79" s="2"/>
      <c r="R79" s="2"/>
    </row>
    <row r="80" spans="1:18" ht="15.75" hidden="1">
      <c r="A80" s="39" t="s">
        <v>110</v>
      </c>
      <c r="B80" s="9" t="s">
        <v>111</v>
      </c>
      <c r="C80" s="10" t="s">
        <v>19</v>
      </c>
      <c r="D80" s="26"/>
      <c r="E80" s="54"/>
      <c r="F80" s="54"/>
      <c r="G80" s="54"/>
      <c r="H80" s="55"/>
      <c r="I80" s="55"/>
      <c r="J80" s="55"/>
      <c r="K80" s="55"/>
      <c r="L80" s="55"/>
      <c r="M80" s="56"/>
      <c r="N80" s="6">
        <f t="shared" si="30"/>
        <v>0</v>
      </c>
      <c r="O80" s="2"/>
      <c r="P80" s="2"/>
      <c r="Q80" s="2"/>
      <c r="R80" s="2"/>
    </row>
    <row r="81" spans="1:18" ht="15.75">
      <c r="A81" s="3" t="s">
        <v>112</v>
      </c>
      <c r="B81" s="30" t="s">
        <v>113</v>
      </c>
      <c r="C81" s="5" t="s">
        <v>19</v>
      </c>
      <c r="D81" s="31">
        <f>D82</f>
        <v>9260.2741641666653</v>
      </c>
      <c r="E81" s="38">
        <f t="shared" ref="E81:O81" si="31">E82</f>
        <v>0</v>
      </c>
      <c r="F81" s="38">
        <f t="shared" si="31"/>
        <v>0</v>
      </c>
      <c r="G81" s="38">
        <f t="shared" si="31"/>
        <v>0</v>
      </c>
      <c r="H81" s="38">
        <f t="shared" si="31"/>
        <v>0</v>
      </c>
      <c r="I81" s="38">
        <f t="shared" si="31"/>
        <v>0</v>
      </c>
      <c r="J81" s="38">
        <f t="shared" si="31"/>
        <v>0</v>
      </c>
      <c r="K81" s="38">
        <f t="shared" si="31"/>
        <v>0</v>
      </c>
      <c r="L81" s="38">
        <f t="shared" si="31"/>
        <v>0</v>
      </c>
      <c r="M81" s="38">
        <f t="shared" si="31"/>
        <v>18821.509999999998</v>
      </c>
      <c r="N81" s="6">
        <f t="shared" si="30"/>
        <v>9561.2358358333331</v>
      </c>
      <c r="O81" s="38">
        <f t="shared" si="31"/>
        <v>9260.2741641666653</v>
      </c>
      <c r="P81" s="2"/>
      <c r="Q81" s="2"/>
      <c r="R81" s="2"/>
    </row>
    <row r="82" spans="1:18" ht="31.5">
      <c r="A82" s="3" t="s">
        <v>114</v>
      </c>
      <c r="B82" s="4" t="s">
        <v>115</v>
      </c>
      <c r="C82" s="5" t="s">
        <v>19</v>
      </c>
      <c r="D82" s="31">
        <f>D83+D84+D87+D88+D92+D93+D103+D104+D108+D109+D111+D116</f>
        <v>9260.2741641666653</v>
      </c>
      <c r="E82" s="38">
        <f t="shared" ref="E82:O82" si="32">E83+E84+E87+E88+E92+E93+E103+E104+E108+E109+E111+E116</f>
        <v>0</v>
      </c>
      <c r="F82" s="38">
        <f t="shared" si="32"/>
        <v>0</v>
      </c>
      <c r="G82" s="38">
        <f t="shared" si="32"/>
        <v>0</v>
      </c>
      <c r="H82" s="38">
        <f t="shared" si="32"/>
        <v>0</v>
      </c>
      <c r="I82" s="38">
        <f t="shared" si="32"/>
        <v>0</v>
      </c>
      <c r="J82" s="38">
        <f t="shared" si="32"/>
        <v>0</v>
      </c>
      <c r="K82" s="38">
        <f t="shared" si="32"/>
        <v>0</v>
      </c>
      <c r="L82" s="38">
        <f t="shared" si="32"/>
        <v>0</v>
      </c>
      <c r="M82" s="38">
        <f t="shared" si="32"/>
        <v>18821.509999999998</v>
      </c>
      <c r="N82" s="6">
        <f t="shared" si="30"/>
        <v>9561.2358358333331</v>
      </c>
      <c r="O82" s="38">
        <f t="shared" si="32"/>
        <v>9260.2741641666653</v>
      </c>
      <c r="P82" s="2"/>
      <c r="Q82" s="2"/>
      <c r="R82" s="2"/>
    </row>
    <row r="83" spans="1:18" ht="31.5">
      <c r="A83" s="39" t="s">
        <v>116</v>
      </c>
      <c r="B83" s="9" t="s">
        <v>117</v>
      </c>
      <c r="C83" s="10" t="s">
        <v>19</v>
      </c>
      <c r="D83" s="26">
        <f>8745.544/12*5</f>
        <v>3643.9766666666669</v>
      </c>
      <c r="E83" s="54"/>
      <c r="F83" s="54"/>
      <c r="G83" s="54"/>
      <c r="H83" s="55"/>
      <c r="I83" s="55"/>
      <c r="J83" s="55"/>
      <c r="K83" s="55"/>
      <c r="L83" s="55"/>
      <c r="M83" s="53">
        <f>12046.699</f>
        <v>12046.699000000001</v>
      </c>
      <c r="N83" s="6">
        <f t="shared" si="30"/>
        <v>8402.7223333333332</v>
      </c>
      <c r="O83" s="26">
        <f>D83</f>
        <v>3643.9766666666669</v>
      </c>
      <c r="P83" s="2"/>
      <c r="Q83" s="2"/>
      <c r="R83" s="2"/>
    </row>
    <row r="84" spans="1:18" ht="15.75">
      <c r="A84" s="39" t="s">
        <v>118</v>
      </c>
      <c r="B84" s="9" t="s">
        <v>57</v>
      </c>
      <c r="C84" s="10" t="s">
        <v>19</v>
      </c>
      <c r="D84" s="28">
        <f>D85+D86</f>
        <v>360.75353916666666</v>
      </c>
      <c r="E84" s="28">
        <f t="shared" ref="E84:M84" si="33">E85+E86</f>
        <v>0</v>
      </c>
      <c r="F84" s="28">
        <f t="shared" si="33"/>
        <v>0</v>
      </c>
      <c r="G84" s="28">
        <f t="shared" si="33"/>
        <v>0</v>
      </c>
      <c r="H84" s="28">
        <f t="shared" si="33"/>
        <v>0</v>
      </c>
      <c r="I84" s="28">
        <f t="shared" si="33"/>
        <v>0</v>
      </c>
      <c r="J84" s="28">
        <f t="shared" si="33"/>
        <v>0</v>
      </c>
      <c r="K84" s="28">
        <f t="shared" si="33"/>
        <v>0</v>
      </c>
      <c r="L84" s="28">
        <f t="shared" si="33"/>
        <v>0</v>
      </c>
      <c r="M84" s="28">
        <f t="shared" si="33"/>
        <v>1181.144</v>
      </c>
      <c r="N84" s="6">
        <f t="shared" si="30"/>
        <v>820.39046083333335</v>
      </c>
      <c r="O84" s="26">
        <f t="shared" ref="O84:O108" si="34">D84</f>
        <v>360.75353916666666</v>
      </c>
      <c r="P84" s="2"/>
      <c r="Q84" s="2"/>
      <c r="R84" s="2"/>
    </row>
    <row r="85" spans="1:18" ht="15.75">
      <c r="A85" s="43" t="s">
        <v>119</v>
      </c>
      <c r="B85" s="33" t="s">
        <v>59</v>
      </c>
      <c r="C85" s="16" t="s">
        <v>19</v>
      </c>
      <c r="D85" s="27">
        <f>393.54933/12*5</f>
        <v>163.97888749999998</v>
      </c>
      <c r="E85" s="54"/>
      <c r="F85" s="54"/>
      <c r="G85" s="54"/>
      <c r="H85" s="55"/>
      <c r="I85" s="55"/>
      <c r="J85" s="55"/>
      <c r="K85" s="55"/>
      <c r="L85" s="55"/>
      <c r="M85" s="56">
        <f>485.415</f>
        <v>485.41500000000002</v>
      </c>
      <c r="N85" s="6">
        <f t="shared" si="30"/>
        <v>321.43611250000004</v>
      </c>
      <c r="O85" s="26">
        <f t="shared" si="34"/>
        <v>163.97888749999998</v>
      </c>
      <c r="P85" s="2"/>
      <c r="Q85" s="2"/>
      <c r="R85" s="2"/>
    </row>
    <row r="86" spans="1:18" ht="15.75">
      <c r="A86" s="35" t="s">
        <v>120</v>
      </c>
      <c r="B86" s="33" t="s">
        <v>61</v>
      </c>
      <c r="C86" s="16" t="s">
        <v>19</v>
      </c>
      <c r="D86" s="27">
        <f>472.259164/12*5</f>
        <v>196.77465166666667</v>
      </c>
      <c r="E86" s="54"/>
      <c r="F86" s="54"/>
      <c r="G86" s="54"/>
      <c r="H86" s="55"/>
      <c r="I86" s="55"/>
      <c r="J86" s="55"/>
      <c r="K86" s="55"/>
      <c r="L86" s="55"/>
      <c r="M86" s="56">
        <v>695.72900000000004</v>
      </c>
      <c r="N86" s="6">
        <f t="shared" si="30"/>
        <v>498.95434833333337</v>
      </c>
      <c r="O86" s="26">
        <f t="shared" si="34"/>
        <v>196.77465166666667</v>
      </c>
      <c r="P86" s="2"/>
      <c r="Q86" s="2"/>
      <c r="R86" s="2"/>
    </row>
    <row r="87" spans="1:18" ht="15.75">
      <c r="A87" s="39" t="s">
        <v>121</v>
      </c>
      <c r="B87" s="9" t="s">
        <v>63</v>
      </c>
      <c r="C87" s="10" t="s">
        <v>19</v>
      </c>
      <c r="D87" s="26">
        <f>1120.134/12*5</f>
        <v>466.72249999999997</v>
      </c>
      <c r="E87" s="54"/>
      <c r="F87" s="54"/>
      <c r="G87" s="54"/>
      <c r="H87" s="55"/>
      <c r="I87" s="55"/>
      <c r="J87" s="55"/>
      <c r="K87" s="55"/>
      <c r="L87" s="55"/>
      <c r="M87" s="56">
        <f>3.044+213.763+0.295+9.542+54.475+31.32+5.966</f>
        <v>318.40500000000003</v>
      </c>
      <c r="N87" s="6">
        <f t="shared" si="30"/>
        <v>-148.31749999999994</v>
      </c>
      <c r="O87" s="26">
        <f t="shared" si="34"/>
        <v>466.72249999999997</v>
      </c>
      <c r="P87" s="2"/>
      <c r="Q87" s="2"/>
      <c r="R87" s="2"/>
    </row>
    <row r="88" spans="1:18" ht="63">
      <c r="A88" s="39" t="s">
        <v>122</v>
      </c>
      <c r="B88" s="9" t="s">
        <v>123</v>
      </c>
      <c r="C88" s="10" t="s">
        <v>19</v>
      </c>
      <c r="D88" s="28">
        <f>86.9104/12*5</f>
        <v>36.212666666666664</v>
      </c>
      <c r="E88" s="54"/>
      <c r="F88" s="54"/>
      <c r="G88" s="54"/>
      <c r="H88" s="55"/>
      <c r="I88" s="55"/>
      <c r="J88" s="55"/>
      <c r="K88" s="55"/>
      <c r="L88" s="55"/>
      <c r="M88" s="56"/>
      <c r="N88" s="6">
        <f t="shared" si="30"/>
        <v>-36.212666666666664</v>
      </c>
      <c r="O88" s="26">
        <f t="shared" si="34"/>
        <v>36.212666666666664</v>
      </c>
      <c r="P88" s="2"/>
      <c r="Q88" s="2"/>
      <c r="R88" s="2"/>
    </row>
    <row r="89" spans="1:18" ht="15.75" hidden="1">
      <c r="A89" s="35" t="s">
        <v>124</v>
      </c>
      <c r="B89" s="42" t="s">
        <v>125</v>
      </c>
      <c r="C89" s="16" t="s">
        <v>19</v>
      </c>
      <c r="D89" s="27"/>
      <c r="E89" s="54"/>
      <c r="F89" s="54"/>
      <c r="G89" s="54"/>
      <c r="H89" s="55"/>
      <c r="I89" s="55"/>
      <c r="J89" s="55"/>
      <c r="K89" s="55"/>
      <c r="L89" s="55"/>
      <c r="M89" s="56"/>
      <c r="N89" s="6">
        <f t="shared" si="30"/>
        <v>0</v>
      </c>
      <c r="O89" s="26">
        <f t="shared" si="34"/>
        <v>0</v>
      </c>
      <c r="P89" s="2"/>
      <c r="Q89" s="2"/>
      <c r="R89" s="2"/>
    </row>
    <row r="90" spans="1:18" ht="15.75" hidden="1">
      <c r="A90" s="35" t="s">
        <v>126</v>
      </c>
      <c r="B90" s="42" t="s">
        <v>127</v>
      </c>
      <c r="C90" s="16" t="s">
        <v>19</v>
      </c>
      <c r="D90" s="27"/>
      <c r="E90" s="54"/>
      <c r="F90" s="54"/>
      <c r="G90" s="54"/>
      <c r="H90" s="55"/>
      <c r="I90" s="55"/>
      <c r="J90" s="55"/>
      <c r="K90" s="55"/>
      <c r="L90" s="55"/>
      <c r="M90" s="56"/>
      <c r="N90" s="6">
        <f t="shared" si="30"/>
        <v>0</v>
      </c>
      <c r="O90" s="26">
        <f t="shared" si="34"/>
        <v>0</v>
      </c>
      <c r="P90" s="2"/>
      <c r="Q90" s="2"/>
      <c r="R90" s="2"/>
    </row>
    <row r="91" spans="1:18" ht="15.75" hidden="1">
      <c r="A91" s="35" t="s">
        <v>128</v>
      </c>
      <c r="B91" s="42" t="s">
        <v>129</v>
      </c>
      <c r="C91" s="16" t="s">
        <v>19</v>
      </c>
      <c r="D91" s="27"/>
      <c r="E91" s="54"/>
      <c r="F91" s="54"/>
      <c r="G91" s="54"/>
      <c r="H91" s="55"/>
      <c r="I91" s="55"/>
      <c r="J91" s="55"/>
      <c r="K91" s="55"/>
      <c r="L91" s="55"/>
      <c r="M91" s="56"/>
      <c r="N91" s="6">
        <f t="shared" si="30"/>
        <v>0</v>
      </c>
      <c r="O91" s="26">
        <f t="shared" si="34"/>
        <v>0</v>
      </c>
      <c r="P91" s="2"/>
      <c r="Q91" s="2"/>
      <c r="R91" s="2"/>
    </row>
    <row r="92" spans="1:18" ht="15.75">
      <c r="A92" s="39" t="s">
        <v>130</v>
      </c>
      <c r="B92" s="9" t="s">
        <v>131</v>
      </c>
      <c r="C92" s="10" t="s">
        <v>19</v>
      </c>
      <c r="D92" s="28">
        <f>708.9034/12*5</f>
        <v>295.37641666666667</v>
      </c>
      <c r="E92" s="54"/>
      <c r="F92" s="54"/>
      <c r="G92" s="54"/>
      <c r="H92" s="55"/>
      <c r="I92" s="55"/>
      <c r="J92" s="55"/>
      <c r="K92" s="55"/>
      <c r="L92" s="55"/>
      <c r="M92" s="56">
        <f>25.089</f>
        <v>25.088999999999999</v>
      </c>
      <c r="N92" s="6">
        <f t="shared" si="30"/>
        <v>-270.28741666666667</v>
      </c>
      <c r="O92" s="26">
        <f t="shared" si="34"/>
        <v>295.37641666666667</v>
      </c>
      <c r="P92" s="2"/>
      <c r="Q92" s="2"/>
      <c r="R92" s="2"/>
    </row>
    <row r="93" spans="1:18" ht="15.75">
      <c r="A93" s="39" t="s">
        <v>132</v>
      </c>
      <c r="B93" s="9" t="s">
        <v>69</v>
      </c>
      <c r="C93" s="10" t="s">
        <v>19</v>
      </c>
      <c r="D93" s="28">
        <f>706.0794/12*5</f>
        <v>294.19974999999999</v>
      </c>
      <c r="E93" s="54"/>
      <c r="F93" s="54"/>
      <c r="G93" s="54"/>
      <c r="H93" s="55"/>
      <c r="I93" s="55"/>
      <c r="J93" s="55"/>
      <c r="K93" s="55"/>
      <c r="L93" s="55"/>
      <c r="M93" s="56">
        <f>27.403+82.996</f>
        <v>110.399</v>
      </c>
      <c r="N93" s="6">
        <f t="shared" si="30"/>
        <v>-183.80074999999999</v>
      </c>
      <c r="O93" s="26">
        <f t="shared" si="34"/>
        <v>294.19974999999999</v>
      </c>
      <c r="P93" s="2"/>
      <c r="Q93" s="2"/>
      <c r="R93" s="2"/>
    </row>
    <row r="94" spans="1:18" ht="15.75" hidden="1">
      <c r="A94" s="35" t="s">
        <v>133</v>
      </c>
      <c r="B94" s="42" t="s">
        <v>134</v>
      </c>
      <c r="C94" s="16" t="s">
        <v>19</v>
      </c>
      <c r="D94" s="27"/>
      <c r="E94" s="54"/>
      <c r="F94" s="54"/>
      <c r="G94" s="54"/>
      <c r="H94" s="55"/>
      <c r="I94" s="55"/>
      <c r="J94" s="55"/>
      <c r="K94" s="55"/>
      <c r="L94" s="55"/>
      <c r="M94" s="56"/>
      <c r="N94" s="6">
        <f t="shared" si="30"/>
        <v>0</v>
      </c>
      <c r="O94" s="26">
        <f t="shared" si="34"/>
        <v>0</v>
      </c>
      <c r="P94" s="2"/>
      <c r="Q94" s="2"/>
      <c r="R94" s="2"/>
    </row>
    <row r="95" spans="1:18" ht="15.75" hidden="1">
      <c r="A95" s="35" t="s">
        <v>135</v>
      </c>
      <c r="B95" s="42" t="s">
        <v>136</v>
      </c>
      <c r="C95" s="16" t="s">
        <v>19</v>
      </c>
      <c r="D95" s="27"/>
      <c r="E95" s="54"/>
      <c r="F95" s="54"/>
      <c r="G95" s="54"/>
      <c r="H95" s="55"/>
      <c r="I95" s="55"/>
      <c r="J95" s="55"/>
      <c r="K95" s="55"/>
      <c r="L95" s="55"/>
      <c r="M95" s="56"/>
      <c r="N95" s="6">
        <f t="shared" si="30"/>
        <v>0</v>
      </c>
      <c r="O95" s="26">
        <f t="shared" si="34"/>
        <v>0</v>
      </c>
      <c r="P95" s="2"/>
      <c r="Q95" s="2"/>
      <c r="R95" s="2"/>
    </row>
    <row r="96" spans="1:18" ht="15.75" hidden="1">
      <c r="A96" s="35" t="s">
        <v>137</v>
      </c>
      <c r="B96" s="42" t="s">
        <v>138</v>
      </c>
      <c r="C96" s="16" t="s">
        <v>19</v>
      </c>
      <c r="D96" s="27"/>
      <c r="E96" s="54"/>
      <c r="F96" s="54"/>
      <c r="G96" s="54"/>
      <c r="H96" s="55"/>
      <c r="I96" s="55"/>
      <c r="J96" s="55"/>
      <c r="K96" s="55"/>
      <c r="L96" s="55"/>
      <c r="M96" s="56"/>
      <c r="N96" s="6">
        <f t="shared" si="30"/>
        <v>0</v>
      </c>
      <c r="O96" s="26">
        <f t="shared" si="34"/>
        <v>0</v>
      </c>
      <c r="P96" s="2"/>
      <c r="Q96" s="2"/>
      <c r="R96" s="2"/>
    </row>
    <row r="97" spans="1:18" ht="15.75" hidden="1">
      <c r="A97" s="35" t="s">
        <v>139</v>
      </c>
      <c r="B97" s="42" t="s">
        <v>140</v>
      </c>
      <c r="C97" s="16" t="s">
        <v>19</v>
      </c>
      <c r="D97" s="27"/>
      <c r="E97" s="54"/>
      <c r="F97" s="54"/>
      <c r="G97" s="54"/>
      <c r="H97" s="55"/>
      <c r="I97" s="55"/>
      <c r="J97" s="55"/>
      <c r="K97" s="55"/>
      <c r="L97" s="55"/>
      <c r="M97" s="56"/>
      <c r="N97" s="6">
        <f t="shared" si="30"/>
        <v>0</v>
      </c>
      <c r="O97" s="26">
        <f t="shared" si="34"/>
        <v>0</v>
      </c>
      <c r="P97" s="2"/>
      <c r="Q97" s="2"/>
      <c r="R97" s="2"/>
    </row>
    <row r="98" spans="1:18" ht="15.75" hidden="1">
      <c r="A98" s="35" t="s">
        <v>141</v>
      </c>
      <c r="B98" s="42" t="s">
        <v>142</v>
      </c>
      <c r="C98" s="16" t="s">
        <v>19</v>
      </c>
      <c r="D98" s="27"/>
      <c r="E98" s="54"/>
      <c r="F98" s="54"/>
      <c r="G98" s="54"/>
      <c r="H98" s="55"/>
      <c r="I98" s="55"/>
      <c r="J98" s="55"/>
      <c r="K98" s="55"/>
      <c r="L98" s="55"/>
      <c r="M98" s="56"/>
      <c r="N98" s="6">
        <f t="shared" si="30"/>
        <v>0</v>
      </c>
      <c r="O98" s="26">
        <f t="shared" si="34"/>
        <v>0</v>
      </c>
      <c r="P98" s="2"/>
      <c r="Q98" s="2"/>
      <c r="R98" s="2"/>
    </row>
    <row r="99" spans="1:18" ht="15.75" hidden="1">
      <c r="A99" s="35" t="s">
        <v>143</v>
      </c>
      <c r="B99" s="42" t="s">
        <v>144</v>
      </c>
      <c r="C99" s="16" t="s">
        <v>19</v>
      </c>
      <c r="D99" s="27"/>
      <c r="E99" s="54"/>
      <c r="F99" s="54"/>
      <c r="G99" s="54"/>
      <c r="H99" s="55"/>
      <c r="I99" s="55"/>
      <c r="J99" s="55"/>
      <c r="K99" s="55"/>
      <c r="L99" s="55"/>
      <c r="M99" s="56"/>
      <c r="N99" s="6">
        <f t="shared" si="30"/>
        <v>0</v>
      </c>
      <c r="O99" s="26">
        <f t="shared" si="34"/>
        <v>0</v>
      </c>
      <c r="P99" s="2"/>
      <c r="Q99" s="2"/>
      <c r="R99" s="2"/>
    </row>
    <row r="100" spans="1:18" ht="15.75" hidden="1">
      <c r="A100" s="35" t="s">
        <v>145</v>
      </c>
      <c r="B100" s="42" t="s">
        <v>146</v>
      </c>
      <c r="C100" s="16" t="s">
        <v>19</v>
      </c>
      <c r="D100" s="27"/>
      <c r="E100" s="54"/>
      <c r="F100" s="54"/>
      <c r="G100" s="54"/>
      <c r="H100" s="55"/>
      <c r="I100" s="55"/>
      <c r="J100" s="55"/>
      <c r="K100" s="55"/>
      <c r="L100" s="55"/>
      <c r="M100" s="56"/>
      <c r="N100" s="6">
        <f t="shared" si="30"/>
        <v>0</v>
      </c>
      <c r="O100" s="26">
        <f t="shared" si="34"/>
        <v>0</v>
      </c>
      <c r="P100" s="2"/>
      <c r="Q100" s="2"/>
      <c r="R100" s="2"/>
    </row>
    <row r="101" spans="1:18" ht="15.75" hidden="1">
      <c r="A101" s="35" t="s">
        <v>147</v>
      </c>
      <c r="B101" s="42" t="s">
        <v>148</v>
      </c>
      <c r="C101" s="16" t="s">
        <v>19</v>
      </c>
      <c r="D101" s="27"/>
      <c r="E101" s="54"/>
      <c r="F101" s="54"/>
      <c r="G101" s="54"/>
      <c r="H101" s="55"/>
      <c r="I101" s="55"/>
      <c r="J101" s="55"/>
      <c r="K101" s="55"/>
      <c r="L101" s="55"/>
      <c r="M101" s="56"/>
      <c r="N101" s="6">
        <f t="shared" si="30"/>
        <v>0</v>
      </c>
      <c r="O101" s="26">
        <f t="shared" si="34"/>
        <v>0</v>
      </c>
      <c r="P101" s="2"/>
      <c r="Q101" s="2"/>
      <c r="R101" s="2"/>
    </row>
    <row r="102" spans="1:18" ht="15.75" hidden="1">
      <c r="A102" s="35" t="s">
        <v>149</v>
      </c>
      <c r="B102" s="42" t="s">
        <v>150</v>
      </c>
      <c r="C102" s="16" t="s">
        <v>19</v>
      </c>
      <c r="D102" s="27"/>
      <c r="E102" s="54"/>
      <c r="F102" s="54"/>
      <c r="G102" s="54"/>
      <c r="H102" s="55"/>
      <c r="I102" s="55"/>
      <c r="J102" s="55"/>
      <c r="K102" s="55"/>
      <c r="L102" s="55"/>
      <c r="M102" s="56"/>
      <c r="N102" s="6">
        <f t="shared" si="30"/>
        <v>0</v>
      </c>
      <c r="O102" s="26">
        <f t="shared" si="34"/>
        <v>0</v>
      </c>
      <c r="P102" s="2"/>
      <c r="Q102" s="2"/>
      <c r="R102" s="2"/>
    </row>
    <row r="103" spans="1:18" ht="15.75">
      <c r="A103" s="39" t="s">
        <v>151</v>
      </c>
      <c r="B103" s="9" t="s">
        <v>152</v>
      </c>
      <c r="C103" s="10" t="s">
        <v>19</v>
      </c>
      <c r="D103" s="28">
        <f>376.1074/12*5</f>
        <v>156.71141666666665</v>
      </c>
      <c r="E103" s="54"/>
      <c r="F103" s="54"/>
      <c r="G103" s="54"/>
      <c r="H103" s="55"/>
      <c r="I103" s="55"/>
      <c r="J103" s="55"/>
      <c r="K103" s="55"/>
      <c r="L103" s="55"/>
      <c r="M103" s="56">
        <f>305.215+31.19+25.762+3.399+0.297</f>
        <v>365.863</v>
      </c>
      <c r="N103" s="6">
        <f t="shared" si="30"/>
        <v>209.15158333333335</v>
      </c>
      <c r="O103" s="26">
        <f t="shared" si="34"/>
        <v>156.71141666666665</v>
      </c>
      <c r="P103" s="2"/>
      <c r="Q103" s="2"/>
      <c r="R103" s="2"/>
    </row>
    <row r="104" spans="1:18" ht="15.75">
      <c r="A104" s="39" t="s">
        <v>153</v>
      </c>
      <c r="B104" s="9" t="s">
        <v>71</v>
      </c>
      <c r="C104" s="10" t="s">
        <v>19</v>
      </c>
      <c r="D104" s="26">
        <f>684.483/12*5</f>
        <v>285.20124999999996</v>
      </c>
      <c r="E104" s="54"/>
      <c r="F104" s="54"/>
      <c r="G104" s="54"/>
      <c r="H104" s="55"/>
      <c r="I104" s="55"/>
      <c r="J104" s="55"/>
      <c r="K104" s="55"/>
      <c r="L104" s="55"/>
      <c r="M104" s="56">
        <f>183.679+40.842+245.052+136.14+35.998</f>
        <v>641.71100000000001</v>
      </c>
      <c r="N104" s="6">
        <f t="shared" si="30"/>
        <v>356.50975000000005</v>
      </c>
      <c r="O104" s="26">
        <f t="shared" si="34"/>
        <v>285.20124999999996</v>
      </c>
      <c r="P104" s="2"/>
      <c r="Q104" s="2"/>
      <c r="R104" s="2"/>
    </row>
    <row r="105" spans="1:18" ht="15.75" hidden="1">
      <c r="A105" s="35" t="s">
        <v>154</v>
      </c>
      <c r="B105" s="42" t="s">
        <v>73</v>
      </c>
      <c r="C105" s="16" t="s">
        <v>19</v>
      </c>
      <c r="D105" s="27"/>
      <c r="E105" s="54"/>
      <c r="F105" s="54"/>
      <c r="G105" s="54"/>
      <c r="H105" s="55"/>
      <c r="I105" s="55"/>
      <c r="J105" s="55"/>
      <c r="K105" s="55"/>
      <c r="L105" s="55"/>
      <c r="M105" s="56"/>
      <c r="N105" s="6">
        <f t="shared" si="30"/>
        <v>0</v>
      </c>
      <c r="O105" s="26">
        <f t="shared" si="34"/>
        <v>0</v>
      </c>
      <c r="P105" s="2"/>
      <c r="Q105" s="2"/>
      <c r="R105" s="2"/>
    </row>
    <row r="106" spans="1:18" ht="15.75" hidden="1">
      <c r="A106" s="35" t="s">
        <v>155</v>
      </c>
      <c r="B106" s="42" t="s">
        <v>75</v>
      </c>
      <c r="C106" s="16" t="s">
        <v>19</v>
      </c>
      <c r="D106" s="27"/>
      <c r="E106" s="54"/>
      <c r="F106" s="54"/>
      <c r="G106" s="54"/>
      <c r="H106" s="55"/>
      <c r="I106" s="55"/>
      <c r="J106" s="55"/>
      <c r="K106" s="55"/>
      <c r="L106" s="55"/>
      <c r="M106" s="56"/>
      <c r="N106" s="6">
        <f t="shared" si="30"/>
        <v>0</v>
      </c>
      <c r="O106" s="26">
        <f t="shared" si="34"/>
        <v>0</v>
      </c>
      <c r="P106" s="2"/>
      <c r="Q106" s="2"/>
      <c r="R106" s="2"/>
    </row>
    <row r="107" spans="1:18" ht="15.75" hidden="1">
      <c r="A107" s="35" t="s">
        <v>156</v>
      </c>
      <c r="B107" s="42" t="s">
        <v>77</v>
      </c>
      <c r="C107" s="16" t="s">
        <v>19</v>
      </c>
      <c r="D107" s="27"/>
      <c r="E107" s="54"/>
      <c r="F107" s="54"/>
      <c r="G107" s="54"/>
      <c r="H107" s="55"/>
      <c r="I107" s="55"/>
      <c r="J107" s="55"/>
      <c r="K107" s="55"/>
      <c r="L107" s="55"/>
      <c r="M107" s="56"/>
      <c r="N107" s="6">
        <f t="shared" si="30"/>
        <v>0</v>
      </c>
      <c r="O107" s="26">
        <f t="shared" si="34"/>
        <v>0</v>
      </c>
      <c r="P107" s="2"/>
      <c r="Q107" s="2"/>
      <c r="R107" s="2"/>
    </row>
    <row r="108" spans="1:18" ht="15.75">
      <c r="A108" s="39" t="s">
        <v>157</v>
      </c>
      <c r="B108" s="9" t="s">
        <v>158</v>
      </c>
      <c r="C108" s="10" t="s">
        <v>19</v>
      </c>
      <c r="D108" s="29">
        <f>601.8/12*5</f>
        <v>250.75</v>
      </c>
      <c r="E108" s="54"/>
      <c r="F108" s="54"/>
      <c r="G108" s="54"/>
      <c r="H108" s="55"/>
      <c r="I108" s="55"/>
      <c r="J108" s="55"/>
      <c r="K108" s="55"/>
      <c r="L108" s="55"/>
      <c r="M108" s="56">
        <v>44.686999999999998</v>
      </c>
      <c r="N108" s="6">
        <f t="shared" si="30"/>
        <v>-206.06299999999999</v>
      </c>
      <c r="O108" s="26">
        <f t="shared" si="34"/>
        <v>250.75</v>
      </c>
      <c r="P108" s="2"/>
      <c r="Q108" s="2"/>
      <c r="R108" s="2"/>
    </row>
    <row r="109" spans="1:18" ht="15.75">
      <c r="A109" s="3" t="s">
        <v>159</v>
      </c>
      <c r="B109" s="4" t="s">
        <v>160</v>
      </c>
      <c r="C109" s="5" t="s">
        <v>19</v>
      </c>
      <c r="D109" s="31">
        <f>D110</f>
        <v>226.9458333333333</v>
      </c>
      <c r="E109" s="38">
        <f t="shared" ref="E109:O109" si="35">E110</f>
        <v>0</v>
      </c>
      <c r="F109" s="38">
        <f t="shared" si="35"/>
        <v>0</v>
      </c>
      <c r="G109" s="38">
        <f t="shared" si="35"/>
        <v>0</v>
      </c>
      <c r="H109" s="38">
        <f t="shared" si="35"/>
        <v>0</v>
      </c>
      <c r="I109" s="38">
        <f t="shared" si="35"/>
        <v>0</v>
      </c>
      <c r="J109" s="38">
        <f t="shared" si="35"/>
        <v>0</v>
      </c>
      <c r="K109" s="38">
        <f t="shared" si="35"/>
        <v>0</v>
      </c>
      <c r="L109" s="38">
        <f t="shared" si="35"/>
        <v>0</v>
      </c>
      <c r="M109" s="38">
        <f>M110</f>
        <v>172.75799999999998</v>
      </c>
      <c r="N109" s="6">
        <f t="shared" si="30"/>
        <v>-54.187833333333316</v>
      </c>
      <c r="O109" s="38">
        <f t="shared" si="35"/>
        <v>226.9458333333333</v>
      </c>
      <c r="P109" s="2"/>
      <c r="Q109" s="2"/>
      <c r="R109" s="2"/>
    </row>
    <row r="110" spans="1:18" ht="15.75">
      <c r="A110" s="44" t="s">
        <v>161</v>
      </c>
      <c r="B110" s="9" t="s">
        <v>27</v>
      </c>
      <c r="C110" s="10" t="s">
        <v>19</v>
      </c>
      <c r="D110" s="28">
        <f>544.67/12*5</f>
        <v>226.9458333333333</v>
      </c>
      <c r="E110" s="54"/>
      <c r="F110" s="54"/>
      <c r="G110" s="54"/>
      <c r="H110" s="55"/>
      <c r="I110" s="55"/>
      <c r="J110" s="55"/>
      <c r="K110" s="55"/>
      <c r="L110" s="55"/>
      <c r="M110" s="56">
        <f>95.461+77.297</f>
        <v>172.75799999999998</v>
      </c>
      <c r="N110" s="6">
        <f t="shared" si="30"/>
        <v>-54.187833333333316</v>
      </c>
      <c r="O110" s="26">
        <f>D110</f>
        <v>226.9458333333333</v>
      </c>
      <c r="P110" s="2"/>
      <c r="Q110" s="2"/>
      <c r="R110" s="2"/>
    </row>
    <row r="111" spans="1:18" ht="15.75">
      <c r="A111" s="3" t="s">
        <v>162</v>
      </c>
      <c r="B111" s="30" t="s">
        <v>163</v>
      </c>
      <c r="C111" s="5" t="s">
        <v>19</v>
      </c>
      <c r="D111" s="38">
        <f>D112+D113+D114+D115</f>
        <v>2946.227041666667</v>
      </c>
      <c r="E111" s="38">
        <f t="shared" ref="E111:O111" si="36">E112+E113+E114+E115</f>
        <v>0</v>
      </c>
      <c r="F111" s="38">
        <f t="shared" si="36"/>
        <v>0</v>
      </c>
      <c r="G111" s="38">
        <f t="shared" si="36"/>
        <v>0</v>
      </c>
      <c r="H111" s="38">
        <f t="shared" si="36"/>
        <v>0</v>
      </c>
      <c r="I111" s="38">
        <f t="shared" si="36"/>
        <v>0</v>
      </c>
      <c r="J111" s="38">
        <f t="shared" si="36"/>
        <v>0</v>
      </c>
      <c r="K111" s="38">
        <f t="shared" si="36"/>
        <v>0</v>
      </c>
      <c r="L111" s="38">
        <f t="shared" si="36"/>
        <v>0</v>
      </c>
      <c r="M111" s="38">
        <f t="shared" si="36"/>
        <v>3432.8650000000002</v>
      </c>
      <c r="N111" s="6">
        <f t="shared" si="30"/>
        <v>486.63795833333324</v>
      </c>
      <c r="O111" s="38">
        <f t="shared" si="36"/>
        <v>2946.227041666667</v>
      </c>
      <c r="P111" s="2"/>
      <c r="Q111" s="2"/>
      <c r="R111" s="2"/>
    </row>
    <row r="112" spans="1:18" ht="15.75">
      <c r="A112" s="35" t="s">
        <v>164</v>
      </c>
      <c r="B112" s="33" t="s">
        <v>165</v>
      </c>
      <c r="C112" s="16" t="s">
        <v>19</v>
      </c>
      <c r="D112" s="34">
        <f>5327.3849/12*5</f>
        <v>2219.7437083333334</v>
      </c>
      <c r="E112" s="54"/>
      <c r="F112" s="54"/>
      <c r="G112" s="54"/>
      <c r="H112" s="55"/>
      <c r="I112" s="55"/>
      <c r="J112" s="55"/>
      <c r="K112" s="55"/>
      <c r="L112" s="55"/>
      <c r="M112" s="56">
        <f>19.991+2607.732+9.512</f>
        <v>2637.2350000000001</v>
      </c>
      <c r="N112" s="6">
        <f t="shared" si="30"/>
        <v>417.49129166666671</v>
      </c>
      <c r="O112" s="45">
        <f>D112</f>
        <v>2219.7437083333334</v>
      </c>
      <c r="P112" s="2"/>
      <c r="Q112" s="2"/>
      <c r="R112" s="2"/>
    </row>
    <row r="113" spans="1:18" ht="15.75">
      <c r="A113" s="35" t="s">
        <v>166</v>
      </c>
      <c r="B113" s="33" t="s">
        <v>167</v>
      </c>
      <c r="C113" s="16" t="s">
        <v>19</v>
      </c>
      <c r="D113" s="27">
        <f>1591.26/12*5</f>
        <v>663.02499999999998</v>
      </c>
      <c r="E113" s="54"/>
      <c r="F113" s="54"/>
      <c r="G113" s="54"/>
      <c r="H113" s="55"/>
      <c r="I113" s="55"/>
      <c r="J113" s="55"/>
      <c r="K113" s="55"/>
      <c r="L113" s="55"/>
      <c r="M113" s="56">
        <f>10.82+143.97+640.84</f>
        <v>795.63</v>
      </c>
      <c r="N113" s="6">
        <f t="shared" si="30"/>
        <v>132.60500000000002</v>
      </c>
      <c r="O113" s="45">
        <f t="shared" ref="O113:O115" si="37">D113</f>
        <v>663.02499999999998</v>
      </c>
      <c r="P113" s="2"/>
      <c r="Q113" s="2"/>
      <c r="R113" s="2"/>
    </row>
    <row r="114" spans="1:18" ht="15.75">
      <c r="A114" s="35" t="s">
        <v>168</v>
      </c>
      <c r="B114" s="33" t="s">
        <v>169</v>
      </c>
      <c r="C114" s="16" t="s">
        <v>19</v>
      </c>
      <c r="D114" s="34">
        <f>131.7/12*5</f>
        <v>54.875</v>
      </c>
      <c r="E114" s="54"/>
      <c r="F114" s="54"/>
      <c r="G114" s="54"/>
      <c r="H114" s="55"/>
      <c r="I114" s="55"/>
      <c r="J114" s="55"/>
      <c r="K114" s="55"/>
      <c r="L114" s="55"/>
      <c r="M114" s="56"/>
      <c r="N114" s="6">
        <f t="shared" si="30"/>
        <v>-54.875</v>
      </c>
      <c r="O114" s="45">
        <f t="shared" si="37"/>
        <v>54.875</v>
      </c>
      <c r="P114" s="2"/>
      <c r="Q114" s="2"/>
      <c r="R114" s="2"/>
    </row>
    <row r="115" spans="1:18" ht="31.5">
      <c r="A115" s="35" t="s">
        <v>170</v>
      </c>
      <c r="B115" s="42" t="s">
        <v>171</v>
      </c>
      <c r="C115" s="16" t="s">
        <v>19</v>
      </c>
      <c r="D115" s="27">
        <f>20.6/12*5</f>
        <v>8.5833333333333339</v>
      </c>
      <c r="E115" s="54"/>
      <c r="F115" s="54"/>
      <c r="G115" s="54"/>
      <c r="H115" s="55"/>
      <c r="I115" s="55"/>
      <c r="J115" s="55"/>
      <c r="K115" s="55"/>
      <c r="L115" s="55"/>
      <c r="M115" s="56"/>
      <c r="N115" s="6">
        <f t="shared" si="30"/>
        <v>-8.5833333333333339</v>
      </c>
      <c r="O115" s="45">
        <f t="shared" si="37"/>
        <v>8.5833333333333339</v>
      </c>
      <c r="P115" s="2"/>
      <c r="Q115" s="2"/>
      <c r="R115" s="2"/>
    </row>
    <row r="116" spans="1:18" ht="15.75">
      <c r="A116" s="3" t="s">
        <v>172</v>
      </c>
      <c r="B116" s="30" t="s">
        <v>173</v>
      </c>
      <c r="C116" s="5" t="s">
        <v>19</v>
      </c>
      <c r="D116" s="31">
        <f>SUM(D117:D149)</f>
        <v>297.19708333333335</v>
      </c>
      <c r="E116" s="31">
        <f t="shared" ref="E116:O116" si="38">SUM(E117:E149)</f>
        <v>0</v>
      </c>
      <c r="F116" s="31">
        <f t="shared" si="38"/>
        <v>0</v>
      </c>
      <c r="G116" s="31">
        <f t="shared" si="38"/>
        <v>0</v>
      </c>
      <c r="H116" s="31">
        <f t="shared" si="38"/>
        <v>0</v>
      </c>
      <c r="I116" s="31">
        <f t="shared" si="38"/>
        <v>0</v>
      </c>
      <c r="J116" s="31">
        <f t="shared" si="38"/>
        <v>0</v>
      </c>
      <c r="K116" s="31">
        <f t="shared" si="38"/>
        <v>0</v>
      </c>
      <c r="L116" s="31">
        <f t="shared" si="38"/>
        <v>0</v>
      </c>
      <c r="M116" s="31">
        <f t="shared" si="38"/>
        <v>481.89000000000004</v>
      </c>
      <c r="N116" s="6">
        <f t="shared" si="30"/>
        <v>184.69291666666669</v>
      </c>
      <c r="O116" s="31">
        <f t="shared" si="38"/>
        <v>297.19708333333335</v>
      </c>
      <c r="P116" s="2"/>
      <c r="Q116" s="2"/>
      <c r="R116" s="2"/>
    </row>
    <row r="117" spans="1:18" ht="15.75">
      <c r="A117" s="39" t="s">
        <v>174</v>
      </c>
      <c r="B117" s="25" t="s">
        <v>175</v>
      </c>
      <c r="C117" s="10" t="s">
        <v>19</v>
      </c>
      <c r="D117" s="26">
        <f>53.805/12*5</f>
        <v>22.418749999999999</v>
      </c>
      <c r="E117" s="54"/>
      <c r="F117" s="54"/>
      <c r="G117" s="54"/>
      <c r="H117" s="55"/>
      <c r="I117" s="55"/>
      <c r="J117" s="55"/>
      <c r="K117" s="55"/>
      <c r="L117" s="55"/>
      <c r="M117" s="56">
        <f>2.25+0.66</f>
        <v>2.91</v>
      </c>
      <c r="N117" s="6">
        <f t="shared" si="30"/>
        <v>-19.508749999999999</v>
      </c>
      <c r="O117" s="26">
        <f>D117</f>
        <v>22.418749999999999</v>
      </c>
      <c r="P117" s="2"/>
      <c r="Q117" s="2"/>
      <c r="R117" s="2"/>
    </row>
    <row r="118" spans="1:18" ht="15.75">
      <c r="A118" s="39" t="s">
        <v>176</v>
      </c>
      <c r="B118" s="25" t="s">
        <v>177</v>
      </c>
      <c r="C118" s="10" t="s">
        <v>19</v>
      </c>
      <c r="D118" s="26">
        <f>19.975/12*5</f>
        <v>8.3229166666666679</v>
      </c>
      <c r="E118" s="54"/>
      <c r="F118" s="54"/>
      <c r="G118" s="54"/>
      <c r="H118" s="55"/>
      <c r="I118" s="55"/>
      <c r="J118" s="55"/>
      <c r="K118" s="55"/>
      <c r="L118" s="55"/>
      <c r="M118" s="56"/>
      <c r="N118" s="6">
        <f t="shared" si="30"/>
        <v>-8.3229166666666679</v>
      </c>
      <c r="O118" s="26">
        <f t="shared" ref="O118:O126" si="39">D118</f>
        <v>8.3229166666666679</v>
      </c>
      <c r="P118" s="2"/>
      <c r="Q118" s="2"/>
      <c r="R118" s="2"/>
    </row>
    <row r="119" spans="1:18" ht="15.75">
      <c r="A119" s="39" t="s">
        <v>178</v>
      </c>
      <c r="B119" s="25" t="s">
        <v>179</v>
      </c>
      <c r="C119" s="10" t="s">
        <v>19</v>
      </c>
      <c r="D119" s="26">
        <f>310.479/12*5</f>
        <v>129.36624999999998</v>
      </c>
      <c r="E119" s="54"/>
      <c r="F119" s="54"/>
      <c r="G119" s="54"/>
      <c r="H119" s="55"/>
      <c r="I119" s="55"/>
      <c r="J119" s="55"/>
      <c r="K119" s="55"/>
      <c r="L119" s="55"/>
      <c r="M119" s="56"/>
      <c r="N119" s="6">
        <f t="shared" si="30"/>
        <v>-129.36624999999998</v>
      </c>
      <c r="O119" s="26">
        <f t="shared" si="39"/>
        <v>129.36624999999998</v>
      </c>
      <c r="P119" s="2"/>
      <c r="Q119" s="2"/>
      <c r="R119" s="2"/>
    </row>
    <row r="120" spans="1:18" ht="15.75" hidden="1">
      <c r="A120" s="35" t="s">
        <v>180</v>
      </c>
      <c r="B120" s="33" t="s">
        <v>181</v>
      </c>
      <c r="C120" s="16"/>
      <c r="D120" s="27"/>
      <c r="E120" s="54"/>
      <c r="F120" s="54"/>
      <c r="G120" s="54"/>
      <c r="H120" s="55"/>
      <c r="I120" s="55"/>
      <c r="J120" s="55"/>
      <c r="K120" s="55"/>
      <c r="L120" s="55"/>
      <c r="M120" s="56"/>
      <c r="N120" s="6">
        <f t="shared" si="30"/>
        <v>0</v>
      </c>
      <c r="O120" s="26">
        <f t="shared" si="39"/>
        <v>0</v>
      </c>
      <c r="P120" s="2"/>
      <c r="Q120" s="2"/>
      <c r="R120" s="2"/>
    </row>
    <row r="121" spans="1:18" ht="15.75" hidden="1">
      <c r="A121" s="35" t="s">
        <v>182</v>
      </c>
      <c r="B121" s="33" t="s">
        <v>183</v>
      </c>
      <c r="C121" s="16"/>
      <c r="D121" s="27"/>
      <c r="E121" s="54"/>
      <c r="F121" s="54"/>
      <c r="G121" s="54"/>
      <c r="H121" s="55"/>
      <c r="I121" s="55"/>
      <c r="J121" s="55"/>
      <c r="K121" s="55"/>
      <c r="L121" s="55"/>
      <c r="M121" s="56"/>
      <c r="N121" s="6">
        <f t="shared" si="30"/>
        <v>0</v>
      </c>
      <c r="O121" s="26">
        <f t="shared" si="39"/>
        <v>0</v>
      </c>
      <c r="P121" s="2"/>
      <c r="Q121" s="2"/>
      <c r="R121" s="2"/>
    </row>
    <row r="122" spans="1:18" ht="15.75">
      <c r="A122" s="39" t="s">
        <v>184</v>
      </c>
      <c r="B122" s="25" t="s">
        <v>185</v>
      </c>
      <c r="C122" s="10" t="s">
        <v>19</v>
      </c>
      <c r="D122" s="26">
        <f>23.7/12*5</f>
        <v>9.875</v>
      </c>
      <c r="E122" s="54"/>
      <c r="F122" s="54"/>
      <c r="G122" s="54"/>
      <c r="H122" s="55"/>
      <c r="I122" s="55"/>
      <c r="J122" s="55"/>
      <c r="K122" s="55"/>
      <c r="L122" s="55"/>
      <c r="M122" s="56"/>
      <c r="N122" s="6">
        <f t="shared" si="30"/>
        <v>-9.875</v>
      </c>
      <c r="O122" s="26">
        <f t="shared" si="39"/>
        <v>9.875</v>
      </c>
      <c r="P122" s="2"/>
      <c r="Q122" s="2"/>
      <c r="R122" s="2"/>
    </row>
    <row r="123" spans="1:18" ht="15.75">
      <c r="A123" s="39" t="s">
        <v>186</v>
      </c>
      <c r="B123" s="25" t="s">
        <v>187</v>
      </c>
      <c r="C123" s="10" t="s">
        <v>19</v>
      </c>
      <c r="D123" s="26">
        <f>78.214/12*5</f>
        <v>32.589166666666664</v>
      </c>
      <c r="E123" s="54"/>
      <c r="F123" s="54"/>
      <c r="G123" s="54"/>
      <c r="H123" s="55"/>
      <c r="I123" s="55"/>
      <c r="J123" s="55"/>
      <c r="K123" s="55"/>
      <c r="L123" s="55"/>
      <c r="M123" s="56"/>
      <c r="N123" s="6">
        <f t="shared" si="30"/>
        <v>-32.589166666666664</v>
      </c>
      <c r="O123" s="26">
        <f t="shared" si="39"/>
        <v>32.589166666666664</v>
      </c>
      <c r="P123" s="2"/>
      <c r="Q123" s="2"/>
      <c r="R123" s="2"/>
    </row>
    <row r="124" spans="1:18" ht="15.75">
      <c r="A124" s="39" t="s">
        <v>188</v>
      </c>
      <c r="B124" s="25" t="s">
        <v>189</v>
      </c>
      <c r="C124" s="10" t="s">
        <v>19</v>
      </c>
      <c r="D124" s="26">
        <f>16/12*5</f>
        <v>6.6666666666666661</v>
      </c>
      <c r="E124" s="54"/>
      <c r="F124" s="54"/>
      <c r="G124" s="54"/>
      <c r="H124" s="55"/>
      <c r="I124" s="55"/>
      <c r="J124" s="55"/>
      <c r="K124" s="55"/>
      <c r="L124" s="55"/>
      <c r="M124" s="56">
        <f>272.322</f>
        <v>272.322</v>
      </c>
      <c r="N124" s="6">
        <f t="shared" si="30"/>
        <v>265.65533333333332</v>
      </c>
      <c r="O124" s="26">
        <f t="shared" si="39"/>
        <v>6.6666666666666661</v>
      </c>
      <c r="P124" s="2"/>
      <c r="Q124" s="2"/>
      <c r="R124" s="2"/>
    </row>
    <row r="125" spans="1:18" ht="15.75">
      <c r="A125" s="39" t="s">
        <v>190</v>
      </c>
      <c r="B125" s="9" t="s">
        <v>191</v>
      </c>
      <c r="C125" s="10" t="s">
        <v>19</v>
      </c>
      <c r="D125" s="26">
        <f>13.1/12*5</f>
        <v>5.458333333333333</v>
      </c>
      <c r="E125" s="54"/>
      <c r="F125" s="54"/>
      <c r="G125" s="54"/>
      <c r="H125" s="55"/>
      <c r="I125" s="55"/>
      <c r="J125" s="55"/>
      <c r="K125" s="55"/>
      <c r="L125" s="55"/>
      <c r="M125" s="56">
        <v>11.785</v>
      </c>
      <c r="N125" s="6">
        <f t="shared" si="30"/>
        <v>6.3266666666666671</v>
      </c>
      <c r="O125" s="26">
        <f t="shared" si="39"/>
        <v>5.458333333333333</v>
      </c>
      <c r="P125" s="2"/>
      <c r="Q125" s="2"/>
      <c r="R125" s="2"/>
    </row>
    <row r="126" spans="1:18" ht="31.5">
      <c r="A126" s="39" t="s">
        <v>192</v>
      </c>
      <c r="B126" s="9" t="s">
        <v>99</v>
      </c>
      <c r="C126" s="10" t="s">
        <v>19</v>
      </c>
      <c r="D126" s="26">
        <f>198/12*5</f>
        <v>82.5</v>
      </c>
      <c r="E126" s="54"/>
      <c r="F126" s="54"/>
      <c r="G126" s="54"/>
      <c r="H126" s="55"/>
      <c r="I126" s="55"/>
      <c r="J126" s="55"/>
      <c r="K126" s="55"/>
      <c r="L126" s="55"/>
      <c r="M126" s="56"/>
      <c r="N126" s="6">
        <f t="shared" si="30"/>
        <v>-82.5</v>
      </c>
      <c r="O126" s="26">
        <f t="shared" si="39"/>
        <v>82.5</v>
      </c>
      <c r="P126" s="2"/>
      <c r="Q126" s="2"/>
      <c r="R126" s="2"/>
    </row>
    <row r="127" spans="1:18" ht="15.75" hidden="1">
      <c r="A127" s="39" t="s">
        <v>193</v>
      </c>
      <c r="B127" s="9" t="s">
        <v>194</v>
      </c>
      <c r="C127" s="10" t="s">
        <v>19</v>
      </c>
      <c r="D127" s="26"/>
      <c r="E127" s="54"/>
      <c r="F127" s="54"/>
      <c r="G127" s="54"/>
      <c r="H127" s="55"/>
      <c r="I127" s="55"/>
      <c r="J127" s="55"/>
      <c r="K127" s="55"/>
      <c r="L127" s="55"/>
      <c r="M127" s="56"/>
      <c r="N127" s="6">
        <f t="shared" si="30"/>
        <v>0</v>
      </c>
      <c r="O127" s="2"/>
      <c r="P127" s="2"/>
      <c r="Q127" s="2"/>
      <c r="R127" s="2"/>
    </row>
    <row r="128" spans="1:18" ht="15.75" hidden="1">
      <c r="A128" s="39" t="s">
        <v>195</v>
      </c>
      <c r="B128" s="9" t="s">
        <v>196</v>
      </c>
      <c r="C128" s="10" t="s">
        <v>19</v>
      </c>
      <c r="D128" s="26"/>
      <c r="E128" s="54"/>
      <c r="F128" s="54"/>
      <c r="G128" s="54"/>
      <c r="H128" s="55"/>
      <c r="I128" s="55"/>
      <c r="J128" s="55"/>
      <c r="K128" s="55"/>
      <c r="L128" s="55"/>
      <c r="M128" s="56"/>
      <c r="N128" s="6">
        <f t="shared" si="30"/>
        <v>0</v>
      </c>
      <c r="O128" s="2"/>
      <c r="P128" s="2"/>
      <c r="Q128" s="2"/>
      <c r="R128" s="2"/>
    </row>
    <row r="129" spans="1:18" ht="31.5">
      <c r="A129" s="39" t="s">
        <v>197</v>
      </c>
      <c r="B129" s="9" t="s">
        <v>198</v>
      </c>
      <c r="C129" s="10" t="s">
        <v>19</v>
      </c>
      <c r="D129" s="26"/>
      <c r="E129" s="54"/>
      <c r="F129" s="54"/>
      <c r="G129" s="54"/>
      <c r="H129" s="55"/>
      <c r="I129" s="55"/>
      <c r="J129" s="55"/>
      <c r="K129" s="55"/>
      <c r="L129" s="55"/>
      <c r="M129" s="56">
        <f>7.2+6.95</f>
        <v>14.15</v>
      </c>
      <c r="N129" s="6">
        <f t="shared" si="30"/>
        <v>14.15</v>
      </c>
      <c r="O129" s="2"/>
      <c r="P129" s="2"/>
      <c r="Q129" s="2"/>
      <c r="R129" s="2"/>
    </row>
    <row r="130" spans="1:18" ht="15.75">
      <c r="A130" s="39" t="s">
        <v>199</v>
      </c>
      <c r="B130" s="9" t="s">
        <v>253</v>
      </c>
      <c r="C130" s="10" t="s">
        <v>19</v>
      </c>
      <c r="D130" s="26"/>
      <c r="E130" s="54"/>
      <c r="F130" s="54"/>
      <c r="G130" s="54"/>
      <c r="H130" s="55"/>
      <c r="I130" s="55"/>
      <c r="J130" s="55"/>
      <c r="K130" s="55"/>
      <c r="L130" s="55"/>
      <c r="M130" s="56">
        <v>84</v>
      </c>
      <c r="N130" s="6">
        <f t="shared" si="30"/>
        <v>84</v>
      </c>
      <c r="O130" s="2"/>
      <c r="P130" s="2"/>
      <c r="Q130" s="2"/>
      <c r="R130" s="2"/>
    </row>
    <row r="131" spans="1:18" ht="15.75">
      <c r="A131" s="39" t="s">
        <v>200</v>
      </c>
      <c r="B131" s="9" t="s">
        <v>201</v>
      </c>
      <c r="C131" s="10" t="s">
        <v>19</v>
      </c>
      <c r="D131" s="26"/>
      <c r="E131" s="54"/>
      <c r="F131" s="54"/>
      <c r="G131" s="54"/>
      <c r="H131" s="55"/>
      <c r="I131" s="55"/>
      <c r="J131" s="55"/>
      <c r="K131" s="55"/>
      <c r="L131" s="55"/>
      <c r="M131" s="56">
        <f>22.321+12.143</f>
        <v>34.463999999999999</v>
      </c>
      <c r="N131" s="6">
        <f t="shared" si="30"/>
        <v>34.463999999999999</v>
      </c>
      <c r="O131" s="2"/>
      <c r="P131" s="2"/>
      <c r="Q131" s="2"/>
      <c r="R131" s="2"/>
    </row>
    <row r="132" spans="1:18" ht="15.75" hidden="1">
      <c r="A132" s="39" t="s">
        <v>202</v>
      </c>
      <c r="B132" s="9" t="s">
        <v>101</v>
      </c>
      <c r="C132" s="10" t="s">
        <v>19</v>
      </c>
      <c r="D132" s="26"/>
      <c r="E132" s="54"/>
      <c r="F132" s="54"/>
      <c r="G132" s="54"/>
      <c r="H132" s="55"/>
      <c r="I132" s="55"/>
      <c r="J132" s="55"/>
      <c r="K132" s="55"/>
      <c r="L132" s="55"/>
      <c r="M132" s="56"/>
      <c r="N132" s="6">
        <f t="shared" si="30"/>
        <v>0</v>
      </c>
      <c r="O132" s="2"/>
      <c r="P132" s="2"/>
      <c r="Q132" s="2"/>
      <c r="R132" s="2"/>
    </row>
    <row r="133" spans="1:18" ht="31.5" hidden="1">
      <c r="A133" s="39" t="s">
        <v>203</v>
      </c>
      <c r="B133" s="9" t="s">
        <v>204</v>
      </c>
      <c r="C133" s="10" t="s">
        <v>19</v>
      </c>
      <c r="D133" s="26"/>
      <c r="E133" s="54"/>
      <c r="F133" s="54"/>
      <c r="G133" s="54"/>
      <c r="H133" s="55"/>
      <c r="I133" s="55"/>
      <c r="J133" s="55"/>
      <c r="K133" s="55"/>
      <c r="L133" s="55"/>
      <c r="M133" s="56"/>
      <c r="N133" s="6">
        <f t="shared" si="30"/>
        <v>0</v>
      </c>
      <c r="O133" s="2"/>
      <c r="P133" s="2"/>
      <c r="Q133" s="2"/>
      <c r="R133" s="2"/>
    </row>
    <row r="134" spans="1:18" ht="15.75" hidden="1">
      <c r="A134" s="39" t="s">
        <v>205</v>
      </c>
      <c r="B134" s="9" t="s">
        <v>206</v>
      </c>
      <c r="C134" s="10" t="s">
        <v>19</v>
      </c>
      <c r="D134" s="26"/>
      <c r="E134" s="54"/>
      <c r="F134" s="54"/>
      <c r="G134" s="54"/>
      <c r="H134" s="55"/>
      <c r="I134" s="55"/>
      <c r="J134" s="55"/>
      <c r="K134" s="55"/>
      <c r="L134" s="55"/>
      <c r="M134" s="56"/>
      <c r="N134" s="6">
        <f t="shared" si="30"/>
        <v>0</v>
      </c>
      <c r="O134" s="2"/>
      <c r="P134" s="2"/>
      <c r="Q134" s="2"/>
      <c r="R134" s="2"/>
    </row>
    <row r="135" spans="1:18" ht="15.75" hidden="1">
      <c r="A135" s="39" t="s">
        <v>207</v>
      </c>
      <c r="B135" s="9" t="s">
        <v>208</v>
      </c>
      <c r="C135" s="10" t="s">
        <v>19</v>
      </c>
      <c r="D135" s="26"/>
      <c r="E135" s="54"/>
      <c r="F135" s="54"/>
      <c r="G135" s="54"/>
      <c r="H135" s="55"/>
      <c r="I135" s="55"/>
      <c r="J135" s="55"/>
      <c r="K135" s="55"/>
      <c r="L135" s="55"/>
      <c r="M135" s="56"/>
      <c r="N135" s="6">
        <f t="shared" si="30"/>
        <v>0</v>
      </c>
      <c r="O135" s="2"/>
      <c r="P135" s="2"/>
      <c r="Q135" s="2"/>
      <c r="R135" s="2"/>
    </row>
    <row r="136" spans="1:18" ht="15.75" hidden="1">
      <c r="A136" s="39" t="s">
        <v>209</v>
      </c>
      <c r="B136" s="9" t="s">
        <v>210</v>
      </c>
      <c r="C136" s="10" t="s">
        <v>19</v>
      </c>
      <c r="D136" s="26"/>
      <c r="E136" s="54"/>
      <c r="F136" s="54"/>
      <c r="G136" s="54"/>
      <c r="H136" s="55"/>
      <c r="I136" s="55"/>
      <c r="J136" s="55"/>
      <c r="K136" s="55"/>
      <c r="L136" s="55"/>
      <c r="M136" s="56"/>
      <c r="N136" s="6">
        <f t="shared" si="30"/>
        <v>0</v>
      </c>
      <c r="O136" s="2"/>
      <c r="P136" s="2"/>
      <c r="Q136" s="2"/>
      <c r="R136" s="2"/>
    </row>
    <row r="137" spans="1:18" ht="15.75" hidden="1">
      <c r="A137" s="39" t="s">
        <v>195</v>
      </c>
      <c r="B137" s="9" t="s">
        <v>211</v>
      </c>
      <c r="C137" s="10" t="s">
        <v>19</v>
      </c>
      <c r="D137" s="26"/>
      <c r="E137" s="54"/>
      <c r="F137" s="54"/>
      <c r="G137" s="54"/>
      <c r="H137" s="55"/>
      <c r="I137" s="55"/>
      <c r="J137" s="55"/>
      <c r="K137" s="55"/>
      <c r="L137" s="55"/>
      <c r="M137" s="56"/>
      <c r="N137" s="6">
        <f t="shared" ref="N137:N162" si="40">M137-D137</f>
        <v>0</v>
      </c>
      <c r="O137" s="2"/>
      <c r="P137" s="2"/>
      <c r="Q137" s="2"/>
      <c r="R137" s="2"/>
    </row>
    <row r="138" spans="1:18" ht="31.5" hidden="1">
      <c r="A138" s="39" t="s">
        <v>195</v>
      </c>
      <c r="B138" s="9" t="s">
        <v>212</v>
      </c>
      <c r="C138" s="10" t="s">
        <v>19</v>
      </c>
      <c r="D138" s="26"/>
      <c r="E138" s="54"/>
      <c r="F138" s="54"/>
      <c r="G138" s="54"/>
      <c r="H138" s="55"/>
      <c r="I138" s="55"/>
      <c r="J138" s="55"/>
      <c r="K138" s="55"/>
      <c r="L138" s="55"/>
      <c r="M138" s="56"/>
      <c r="N138" s="6">
        <f t="shared" si="40"/>
        <v>0</v>
      </c>
      <c r="O138" s="2"/>
      <c r="P138" s="2"/>
      <c r="Q138" s="2"/>
      <c r="R138" s="2"/>
    </row>
    <row r="139" spans="1:18" ht="15.75" hidden="1">
      <c r="A139" s="39" t="s">
        <v>195</v>
      </c>
      <c r="B139" s="9" t="s">
        <v>213</v>
      </c>
      <c r="C139" s="10" t="s">
        <v>19</v>
      </c>
      <c r="D139" s="26"/>
      <c r="E139" s="54"/>
      <c r="F139" s="54"/>
      <c r="G139" s="54"/>
      <c r="H139" s="55"/>
      <c r="I139" s="55"/>
      <c r="J139" s="55"/>
      <c r="K139" s="55"/>
      <c r="L139" s="55"/>
      <c r="M139" s="56"/>
      <c r="N139" s="6">
        <f t="shared" si="40"/>
        <v>0</v>
      </c>
      <c r="O139" s="2"/>
      <c r="P139" s="2"/>
      <c r="Q139" s="2"/>
      <c r="R139" s="2"/>
    </row>
    <row r="140" spans="1:18" ht="31.5" hidden="1">
      <c r="A140" s="39" t="s">
        <v>195</v>
      </c>
      <c r="B140" s="9" t="s">
        <v>214</v>
      </c>
      <c r="C140" s="10" t="s">
        <v>19</v>
      </c>
      <c r="D140" s="26"/>
      <c r="E140" s="54"/>
      <c r="F140" s="54"/>
      <c r="G140" s="54"/>
      <c r="H140" s="55"/>
      <c r="I140" s="55"/>
      <c r="J140" s="55"/>
      <c r="K140" s="55"/>
      <c r="L140" s="55"/>
      <c r="M140" s="56"/>
      <c r="N140" s="6">
        <f t="shared" si="40"/>
        <v>0</v>
      </c>
      <c r="O140" s="2"/>
      <c r="P140" s="2"/>
      <c r="Q140" s="2"/>
      <c r="R140" s="2"/>
    </row>
    <row r="141" spans="1:18" ht="31.5" hidden="1">
      <c r="A141" s="39" t="s">
        <v>195</v>
      </c>
      <c r="B141" s="9" t="s">
        <v>215</v>
      </c>
      <c r="C141" s="10" t="s">
        <v>19</v>
      </c>
      <c r="D141" s="26"/>
      <c r="E141" s="54"/>
      <c r="F141" s="54"/>
      <c r="G141" s="54"/>
      <c r="H141" s="55"/>
      <c r="I141" s="55"/>
      <c r="J141" s="55"/>
      <c r="K141" s="55"/>
      <c r="L141" s="55"/>
      <c r="M141" s="56"/>
      <c r="N141" s="6">
        <f t="shared" si="40"/>
        <v>0</v>
      </c>
      <c r="O141" s="2"/>
      <c r="P141" s="2"/>
      <c r="Q141" s="2"/>
      <c r="R141" s="2"/>
    </row>
    <row r="142" spans="1:18" ht="15.75" hidden="1">
      <c r="A142" s="39" t="s">
        <v>195</v>
      </c>
      <c r="B142" s="9" t="s">
        <v>216</v>
      </c>
      <c r="C142" s="10" t="s">
        <v>19</v>
      </c>
      <c r="D142" s="26"/>
      <c r="E142" s="54"/>
      <c r="F142" s="54"/>
      <c r="G142" s="54"/>
      <c r="H142" s="55"/>
      <c r="I142" s="55"/>
      <c r="J142" s="55"/>
      <c r="K142" s="55"/>
      <c r="L142" s="55"/>
      <c r="M142" s="56"/>
      <c r="N142" s="6">
        <f t="shared" si="40"/>
        <v>0</v>
      </c>
      <c r="O142" s="2"/>
      <c r="P142" s="2"/>
      <c r="Q142" s="2"/>
      <c r="R142" s="2"/>
    </row>
    <row r="143" spans="1:18" ht="15.75" hidden="1">
      <c r="A143" s="39" t="s">
        <v>195</v>
      </c>
      <c r="B143" s="9" t="s">
        <v>217</v>
      </c>
      <c r="C143" s="10" t="s">
        <v>19</v>
      </c>
      <c r="D143" s="26"/>
      <c r="E143" s="54"/>
      <c r="F143" s="54"/>
      <c r="G143" s="54"/>
      <c r="H143" s="55"/>
      <c r="I143" s="55"/>
      <c r="J143" s="55"/>
      <c r="K143" s="55"/>
      <c r="L143" s="55"/>
      <c r="M143" s="56"/>
      <c r="N143" s="6">
        <f t="shared" si="40"/>
        <v>0</v>
      </c>
      <c r="O143" s="2"/>
      <c r="P143" s="2"/>
      <c r="Q143" s="2"/>
      <c r="R143" s="2"/>
    </row>
    <row r="144" spans="1:18" ht="15.75">
      <c r="A144" s="39" t="s">
        <v>218</v>
      </c>
      <c r="B144" s="9" t="s">
        <v>219</v>
      </c>
      <c r="C144" s="10" t="s">
        <v>19</v>
      </c>
      <c r="D144" s="26"/>
      <c r="E144" s="54"/>
      <c r="F144" s="54"/>
      <c r="G144" s="54"/>
      <c r="H144" s="55"/>
      <c r="I144" s="55"/>
      <c r="J144" s="55"/>
      <c r="K144" s="55"/>
      <c r="L144" s="55"/>
      <c r="M144" s="56">
        <v>62.259</v>
      </c>
      <c r="N144" s="6">
        <f t="shared" si="40"/>
        <v>62.259</v>
      </c>
      <c r="O144" s="2"/>
      <c r="P144" s="2"/>
      <c r="Q144" s="2"/>
      <c r="R144" s="2"/>
    </row>
    <row r="145" spans="1:18" ht="15.75" hidden="1">
      <c r="A145" s="39" t="s">
        <v>195</v>
      </c>
      <c r="B145" s="9" t="s">
        <v>220</v>
      </c>
      <c r="C145" s="10" t="s">
        <v>19</v>
      </c>
      <c r="D145" s="26"/>
      <c r="E145" s="54"/>
      <c r="F145" s="54"/>
      <c r="G145" s="54"/>
      <c r="H145" s="55"/>
      <c r="I145" s="55"/>
      <c r="J145" s="55"/>
      <c r="K145" s="55"/>
      <c r="L145" s="55"/>
      <c r="M145" s="56"/>
      <c r="N145" s="6">
        <f t="shared" si="40"/>
        <v>0</v>
      </c>
      <c r="O145" s="2"/>
      <c r="P145" s="2"/>
      <c r="Q145" s="2"/>
      <c r="R145" s="2"/>
    </row>
    <row r="146" spans="1:18" ht="15.75" hidden="1">
      <c r="A146" s="39" t="s">
        <v>195</v>
      </c>
      <c r="B146" s="9" t="s">
        <v>221</v>
      </c>
      <c r="C146" s="10" t="s">
        <v>19</v>
      </c>
      <c r="D146" s="26"/>
      <c r="E146" s="54"/>
      <c r="F146" s="54"/>
      <c r="G146" s="54"/>
      <c r="H146" s="55"/>
      <c r="I146" s="55"/>
      <c r="J146" s="55"/>
      <c r="K146" s="55"/>
      <c r="L146" s="55"/>
      <c r="M146" s="56"/>
      <c r="N146" s="6">
        <f t="shared" si="40"/>
        <v>0</v>
      </c>
      <c r="O146" s="2"/>
      <c r="P146" s="2"/>
      <c r="Q146" s="2"/>
      <c r="R146" s="2"/>
    </row>
    <row r="147" spans="1:18" ht="15.75" hidden="1">
      <c r="A147" s="39" t="s">
        <v>195</v>
      </c>
      <c r="B147" s="9" t="s">
        <v>222</v>
      </c>
      <c r="C147" s="10" t="s">
        <v>19</v>
      </c>
      <c r="D147" s="26"/>
      <c r="E147" s="54"/>
      <c r="F147" s="54"/>
      <c r="G147" s="54"/>
      <c r="H147" s="55"/>
      <c r="I147" s="55"/>
      <c r="J147" s="55"/>
      <c r="K147" s="55"/>
      <c r="L147" s="55"/>
      <c r="M147" s="56"/>
      <c r="N147" s="6">
        <f t="shared" si="40"/>
        <v>0</v>
      </c>
      <c r="O147" s="2"/>
      <c r="P147" s="2"/>
      <c r="Q147" s="2"/>
      <c r="R147" s="2"/>
    </row>
    <row r="148" spans="1:18" ht="15.75" hidden="1">
      <c r="A148" s="39" t="s">
        <v>195</v>
      </c>
      <c r="B148" s="9" t="s">
        <v>223</v>
      </c>
      <c r="C148" s="10" t="s">
        <v>19</v>
      </c>
      <c r="D148" s="26"/>
      <c r="E148" s="54"/>
      <c r="F148" s="54"/>
      <c r="G148" s="54"/>
      <c r="H148" s="55"/>
      <c r="I148" s="55"/>
      <c r="J148" s="55"/>
      <c r="K148" s="55"/>
      <c r="L148" s="55"/>
      <c r="M148" s="56"/>
      <c r="N148" s="6">
        <f t="shared" si="40"/>
        <v>0</v>
      </c>
      <c r="O148" s="2"/>
      <c r="P148" s="2"/>
      <c r="Q148" s="2"/>
      <c r="R148" s="2"/>
    </row>
    <row r="149" spans="1:18" ht="15.75" hidden="1">
      <c r="A149" s="39" t="s">
        <v>224</v>
      </c>
      <c r="B149" s="9" t="s">
        <v>225</v>
      </c>
      <c r="C149" s="10" t="s">
        <v>19</v>
      </c>
      <c r="D149" s="26"/>
      <c r="E149" s="54"/>
      <c r="F149" s="54"/>
      <c r="G149" s="54"/>
      <c r="H149" s="55"/>
      <c r="I149" s="55"/>
      <c r="J149" s="55"/>
      <c r="K149" s="55"/>
      <c r="L149" s="55"/>
      <c r="M149" s="56"/>
      <c r="N149" s="6">
        <f t="shared" si="40"/>
        <v>0</v>
      </c>
      <c r="O149" s="2"/>
      <c r="P149" s="2"/>
      <c r="Q149" s="2"/>
      <c r="R149" s="2"/>
    </row>
    <row r="150" spans="1:18" ht="15.75">
      <c r="A150" s="3" t="s">
        <v>226</v>
      </c>
      <c r="B150" s="30" t="s">
        <v>227</v>
      </c>
      <c r="C150" s="5" t="s">
        <v>19</v>
      </c>
      <c r="D150" s="31">
        <f t="shared" ref="D150:M150" si="41">D8+D81</f>
        <v>48905.883816968751</v>
      </c>
      <c r="E150" s="38">
        <f t="shared" si="41"/>
        <v>43.889583333333327</v>
      </c>
      <c r="F150" s="38">
        <f t="shared" si="41"/>
        <v>43.889583333333327</v>
      </c>
      <c r="G150" s="38">
        <f t="shared" si="41"/>
        <v>43.889583333333327</v>
      </c>
      <c r="H150" s="38">
        <f t="shared" si="41"/>
        <v>43.889583333333327</v>
      </c>
      <c r="I150" s="38">
        <f t="shared" si="41"/>
        <v>43.889583333333327</v>
      </c>
      <c r="J150" s="38">
        <f t="shared" si="41"/>
        <v>43.889583333333327</v>
      </c>
      <c r="K150" s="38">
        <f t="shared" si="41"/>
        <v>43.889583333333327</v>
      </c>
      <c r="L150" s="38">
        <f t="shared" si="41"/>
        <v>43.889583333333327</v>
      </c>
      <c r="M150" s="31">
        <f t="shared" si="41"/>
        <v>51132.436000000002</v>
      </c>
      <c r="N150" s="6">
        <f t="shared" si="40"/>
        <v>2226.55218303125</v>
      </c>
      <c r="O150" s="38">
        <f>O8+O81</f>
        <v>5172321.6578950668</v>
      </c>
      <c r="P150" s="2"/>
      <c r="Q150" s="2"/>
      <c r="R150" s="2"/>
    </row>
    <row r="151" spans="1:18" ht="15.75">
      <c r="A151" s="3" t="s">
        <v>228</v>
      </c>
      <c r="B151" s="30" t="s">
        <v>229</v>
      </c>
      <c r="C151" s="5" t="s">
        <v>19</v>
      </c>
      <c r="D151" s="31">
        <f>D152-D150</f>
        <v>501.39657886458008</v>
      </c>
      <c r="E151" s="38">
        <f t="shared" ref="E151:O151" si="42">E152-E150</f>
        <v>-43.889583333333327</v>
      </c>
      <c r="F151" s="38">
        <f t="shared" si="42"/>
        <v>-43.889583333333327</v>
      </c>
      <c r="G151" s="38">
        <f t="shared" si="42"/>
        <v>-43.889583333333327</v>
      </c>
      <c r="H151" s="38">
        <f t="shared" si="42"/>
        <v>-43.889583333333327</v>
      </c>
      <c r="I151" s="38">
        <f t="shared" si="42"/>
        <v>-43.889583333333327</v>
      </c>
      <c r="J151" s="38">
        <f t="shared" si="42"/>
        <v>-43.889583333333327</v>
      </c>
      <c r="K151" s="38">
        <f t="shared" si="42"/>
        <v>-43.889583333333327</v>
      </c>
      <c r="L151" s="38">
        <f t="shared" si="42"/>
        <v>-43.889583333333327</v>
      </c>
      <c r="M151" s="31">
        <f t="shared" si="42"/>
        <v>141.592825000007</v>
      </c>
      <c r="N151" s="6">
        <f t="shared" si="40"/>
        <v>-359.80375386457308</v>
      </c>
      <c r="O151" s="38">
        <f t="shared" si="42"/>
        <v>-5122914.377499233</v>
      </c>
      <c r="P151" s="2"/>
      <c r="Q151" s="2"/>
      <c r="R151" s="2"/>
    </row>
    <row r="152" spans="1:18" ht="15.75">
      <c r="A152" s="3" t="s">
        <v>230</v>
      </c>
      <c r="B152" s="30" t="s">
        <v>231</v>
      </c>
      <c r="C152" s="5" t="s">
        <v>19</v>
      </c>
      <c r="D152" s="31">
        <f>D154</f>
        <v>49407.280395833332</v>
      </c>
      <c r="E152" s="38">
        <f t="shared" ref="E152:O152" si="43">E154</f>
        <v>0</v>
      </c>
      <c r="F152" s="38">
        <f t="shared" si="43"/>
        <v>0</v>
      </c>
      <c r="G152" s="38">
        <f t="shared" si="43"/>
        <v>0</v>
      </c>
      <c r="H152" s="38">
        <f t="shared" si="43"/>
        <v>0</v>
      </c>
      <c r="I152" s="38">
        <f t="shared" si="43"/>
        <v>0</v>
      </c>
      <c r="J152" s="38">
        <f t="shared" si="43"/>
        <v>0</v>
      </c>
      <c r="K152" s="38">
        <f t="shared" si="43"/>
        <v>0</v>
      </c>
      <c r="L152" s="38">
        <f t="shared" si="43"/>
        <v>0</v>
      </c>
      <c r="M152" s="31">
        <f t="shared" si="43"/>
        <v>51274.028825000009</v>
      </c>
      <c r="N152" s="6">
        <f t="shared" si="40"/>
        <v>1866.7484291666769</v>
      </c>
      <c r="O152" s="38">
        <f t="shared" si="43"/>
        <v>49407.280395833332</v>
      </c>
      <c r="P152" s="2"/>
      <c r="Q152" s="2"/>
      <c r="R152" s="2"/>
    </row>
    <row r="153" spans="1:18" ht="15.75">
      <c r="A153" s="59" t="s">
        <v>232</v>
      </c>
      <c r="B153" s="60" t="s">
        <v>233</v>
      </c>
      <c r="C153" s="5" t="s">
        <v>234</v>
      </c>
      <c r="D153" s="31">
        <f>110304.626/12*5</f>
        <v>45960.260833333334</v>
      </c>
      <c r="E153" s="54"/>
      <c r="F153" s="54"/>
      <c r="G153" s="54"/>
      <c r="H153" s="55"/>
      <c r="I153" s="55"/>
      <c r="J153" s="55"/>
      <c r="K153" s="55"/>
      <c r="L153" s="55"/>
      <c r="M153" s="31">
        <v>47696.771000000008</v>
      </c>
      <c r="N153" s="6">
        <f t="shared" si="40"/>
        <v>1736.5101666666742</v>
      </c>
      <c r="O153" s="31">
        <f>D153</f>
        <v>45960.260833333334</v>
      </c>
      <c r="P153" s="2"/>
      <c r="Q153" s="2"/>
      <c r="R153" s="2"/>
    </row>
    <row r="154" spans="1:18" ht="15.75">
      <c r="A154" s="59"/>
      <c r="B154" s="60"/>
      <c r="C154" s="5" t="s">
        <v>19</v>
      </c>
      <c r="D154" s="38">
        <f>D153*D155</f>
        <v>49407.280395833332</v>
      </c>
      <c r="E154" s="38">
        <f t="shared" ref="E154:M154" si="44">E153*E155</f>
        <v>0</v>
      </c>
      <c r="F154" s="38">
        <f t="shared" si="44"/>
        <v>0</v>
      </c>
      <c r="G154" s="38">
        <f t="shared" si="44"/>
        <v>0</v>
      </c>
      <c r="H154" s="38">
        <f t="shared" si="44"/>
        <v>0</v>
      </c>
      <c r="I154" s="38">
        <f t="shared" si="44"/>
        <v>0</v>
      </c>
      <c r="J154" s="38">
        <f t="shared" si="44"/>
        <v>0</v>
      </c>
      <c r="K154" s="38">
        <f t="shared" si="44"/>
        <v>0</v>
      </c>
      <c r="L154" s="38">
        <f t="shared" si="44"/>
        <v>0</v>
      </c>
      <c r="M154" s="38">
        <f t="shared" si="44"/>
        <v>51274.028825000009</v>
      </c>
      <c r="N154" s="6">
        <f t="shared" si="40"/>
        <v>1866.7484291666769</v>
      </c>
      <c r="O154" s="38">
        <f t="shared" ref="O154" si="45">O153*O155</f>
        <v>49407.280395833332</v>
      </c>
      <c r="P154" s="2"/>
      <c r="Q154" s="2"/>
      <c r="R154" s="2"/>
    </row>
    <row r="155" spans="1:18" ht="15.75">
      <c r="A155" s="3" t="s">
        <v>235</v>
      </c>
      <c r="B155" s="30" t="s">
        <v>236</v>
      </c>
      <c r="C155" s="5" t="s">
        <v>237</v>
      </c>
      <c r="D155" s="31">
        <v>1.075</v>
      </c>
      <c r="E155" s="31">
        <v>1.075</v>
      </c>
      <c r="F155" s="31">
        <v>1.075</v>
      </c>
      <c r="G155" s="31">
        <v>1.075</v>
      </c>
      <c r="H155" s="31">
        <v>1.075</v>
      </c>
      <c r="I155" s="31">
        <v>1.075</v>
      </c>
      <c r="J155" s="31">
        <v>1.075</v>
      </c>
      <c r="K155" s="31">
        <v>1.075</v>
      </c>
      <c r="L155" s="31">
        <v>1.075</v>
      </c>
      <c r="M155" s="31">
        <v>1.075</v>
      </c>
      <c r="N155" s="6">
        <f t="shared" si="40"/>
        <v>0</v>
      </c>
      <c r="O155" s="31">
        <f>D155</f>
        <v>1.075</v>
      </c>
      <c r="P155" s="2"/>
      <c r="Q155" s="2"/>
      <c r="R155" s="2"/>
    </row>
    <row r="156" spans="1:18" ht="15.75">
      <c r="A156" s="22"/>
      <c r="B156" s="25" t="s">
        <v>238</v>
      </c>
      <c r="C156" s="22"/>
      <c r="D156" s="26"/>
      <c r="E156" s="13"/>
      <c r="F156" s="13"/>
      <c r="G156" s="13"/>
      <c r="M156" s="2"/>
      <c r="N156" s="6">
        <f t="shared" si="40"/>
        <v>0</v>
      </c>
      <c r="O156" s="2"/>
      <c r="P156" s="2"/>
      <c r="Q156" s="2"/>
      <c r="R156" s="2"/>
    </row>
    <row r="157" spans="1:18" ht="31.5">
      <c r="A157" s="39" t="s">
        <v>239</v>
      </c>
      <c r="B157" s="9" t="s">
        <v>240</v>
      </c>
      <c r="C157" s="39" t="s">
        <v>241</v>
      </c>
      <c r="D157" s="46">
        <f>D158+D159</f>
        <v>72</v>
      </c>
      <c r="E157" s="46">
        <f t="shared" ref="E157:O157" si="46">E158+E159</f>
        <v>0</v>
      </c>
      <c r="F157" s="46">
        <f t="shared" si="46"/>
        <v>0</v>
      </c>
      <c r="G157" s="46">
        <f t="shared" si="46"/>
        <v>0</v>
      </c>
      <c r="H157" s="46">
        <f t="shared" si="46"/>
        <v>0</v>
      </c>
      <c r="I157" s="46">
        <f t="shared" si="46"/>
        <v>0</v>
      </c>
      <c r="J157" s="46">
        <f t="shared" si="46"/>
        <v>0</v>
      </c>
      <c r="K157" s="46">
        <f t="shared" si="46"/>
        <v>0</v>
      </c>
      <c r="L157" s="46">
        <f t="shared" si="46"/>
        <v>0</v>
      </c>
      <c r="M157" s="46">
        <f>M158+M159</f>
        <v>55</v>
      </c>
      <c r="N157" s="6">
        <f t="shared" si="40"/>
        <v>-17</v>
      </c>
      <c r="O157" s="46">
        <f t="shared" si="46"/>
        <v>72</v>
      </c>
      <c r="P157" s="2"/>
      <c r="Q157" s="2"/>
      <c r="R157" s="2"/>
    </row>
    <row r="158" spans="1:18" ht="15.75">
      <c r="A158" s="39" t="s">
        <v>242</v>
      </c>
      <c r="B158" s="9" t="s">
        <v>243</v>
      </c>
      <c r="C158" s="39" t="s">
        <v>241</v>
      </c>
      <c r="D158" s="46">
        <v>65</v>
      </c>
      <c r="E158" s="13"/>
      <c r="F158" s="13"/>
      <c r="G158" s="13"/>
      <c r="M158" s="46">
        <f>37+5</f>
        <v>42</v>
      </c>
      <c r="N158" s="6">
        <f t="shared" si="40"/>
        <v>-23</v>
      </c>
      <c r="O158" s="46">
        <f>D158</f>
        <v>65</v>
      </c>
      <c r="P158" s="2"/>
      <c r="Q158" s="2"/>
      <c r="R158" s="2"/>
    </row>
    <row r="159" spans="1:18" ht="15.75">
      <c r="A159" s="39" t="s">
        <v>244</v>
      </c>
      <c r="B159" s="9" t="s">
        <v>245</v>
      </c>
      <c r="C159" s="39" t="s">
        <v>241</v>
      </c>
      <c r="D159" s="46">
        <v>7</v>
      </c>
      <c r="E159" s="13"/>
      <c r="F159" s="13"/>
      <c r="G159" s="13"/>
      <c r="M159" s="46">
        <v>13</v>
      </c>
      <c r="N159" s="6">
        <f t="shared" si="40"/>
        <v>6</v>
      </c>
      <c r="O159" s="46">
        <f>D159</f>
        <v>7</v>
      </c>
      <c r="P159" s="2"/>
      <c r="Q159" s="2"/>
      <c r="R159" s="2"/>
    </row>
    <row r="160" spans="1:18" ht="31.5">
      <c r="A160" s="39" t="s">
        <v>246</v>
      </c>
      <c r="B160" s="9" t="s">
        <v>247</v>
      </c>
      <c r="C160" s="39" t="s">
        <v>34</v>
      </c>
      <c r="D160" s="46">
        <v>74959</v>
      </c>
      <c r="E160" s="13"/>
      <c r="F160" s="13"/>
      <c r="G160" s="13"/>
      <c r="M160" s="46">
        <f>(M161+M162)/2</f>
        <v>141059.58919413917</v>
      </c>
      <c r="N160" s="58">
        <f t="shared" si="40"/>
        <v>66100.589194139175</v>
      </c>
      <c r="O160" s="46">
        <f>D160</f>
        <v>74959</v>
      </c>
      <c r="P160" s="2"/>
      <c r="Q160" s="2"/>
      <c r="R160" s="2"/>
    </row>
    <row r="161" spans="1:18" ht="15.75">
      <c r="A161" s="39" t="s">
        <v>248</v>
      </c>
      <c r="B161" s="9" t="s">
        <v>243</v>
      </c>
      <c r="C161" s="39" t="s">
        <v>34</v>
      </c>
      <c r="D161" s="46">
        <v>71819</v>
      </c>
      <c r="E161" s="13"/>
      <c r="F161" s="13"/>
      <c r="G161" s="13"/>
      <c r="M161" s="46">
        <f>(1/M158*M52)/5*1000</f>
        <v>96785.347619047592</v>
      </c>
      <c r="N161" s="58">
        <f t="shared" si="40"/>
        <v>24966.347619047592</v>
      </c>
      <c r="O161" s="46">
        <f t="shared" ref="O161:O162" si="47">D161</f>
        <v>71819</v>
      </c>
      <c r="P161" s="2"/>
      <c r="Q161" s="2"/>
      <c r="R161" s="2"/>
    </row>
    <row r="162" spans="1:18" ht="15.75">
      <c r="A162" s="39" t="s">
        <v>249</v>
      </c>
      <c r="B162" s="9" t="s">
        <v>245</v>
      </c>
      <c r="C162" s="39" t="s">
        <v>34</v>
      </c>
      <c r="D162" s="46">
        <v>104114</v>
      </c>
      <c r="E162" s="13"/>
      <c r="F162" s="13"/>
      <c r="G162" s="13"/>
      <c r="M162" s="46">
        <f>(1/M159*M83)/5*1000</f>
        <v>185333.83076923079</v>
      </c>
      <c r="N162" s="58">
        <f t="shared" si="40"/>
        <v>81219.830769230786</v>
      </c>
      <c r="O162" s="46">
        <f t="shared" si="47"/>
        <v>104114</v>
      </c>
      <c r="P162" s="2"/>
      <c r="Q162" s="2"/>
      <c r="R162" s="2"/>
    </row>
    <row r="163" spans="1:18">
      <c r="A163" s="13"/>
      <c r="B163" s="13"/>
      <c r="C163" s="13"/>
      <c r="D163" s="13"/>
      <c r="E163" s="13"/>
      <c r="F163" s="13"/>
      <c r="G163" s="13"/>
    </row>
    <row r="164" spans="1:18">
      <c r="A164" s="13"/>
      <c r="B164" s="13"/>
      <c r="C164" s="13"/>
      <c r="D164" s="13"/>
      <c r="E164" s="13"/>
      <c r="F164" s="13"/>
      <c r="G164" s="13"/>
    </row>
    <row r="165" spans="1:18" ht="15.75">
      <c r="A165" s="13"/>
      <c r="B165" s="71" t="s">
        <v>254</v>
      </c>
      <c r="C165" s="52"/>
      <c r="D165" s="72"/>
      <c r="E165" s="71" t="s">
        <v>255</v>
      </c>
      <c r="F165" s="73"/>
      <c r="G165" s="73"/>
      <c r="H165" s="72"/>
      <c r="I165" s="72"/>
      <c r="J165" s="72"/>
      <c r="K165" s="72"/>
      <c r="L165" s="72"/>
      <c r="M165" s="71" t="s">
        <v>255</v>
      </c>
      <c r="N165" s="72"/>
    </row>
    <row r="166" spans="1:18" ht="15.75">
      <c r="A166" s="13"/>
      <c r="B166" s="52"/>
      <c r="C166" s="52"/>
      <c r="D166" s="72"/>
      <c r="E166" s="52"/>
      <c r="F166" s="73"/>
      <c r="G166" s="73"/>
      <c r="H166" s="72"/>
      <c r="I166" s="72"/>
      <c r="J166" s="72"/>
      <c r="K166" s="72"/>
      <c r="L166" s="72"/>
      <c r="M166" s="52"/>
      <c r="N166" s="72"/>
    </row>
    <row r="167" spans="1:18" ht="15.75">
      <c r="A167" s="13"/>
      <c r="B167" s="71" t="s">
        <v>256</v>
      </c>
      <c r="C167" s="52"/>
      <c r="D167" s="72"/>
      <c r="E167" s="71" t="s">
        <v>257</v>
      </c>
      <c r="F167" s="73"/>
      <c r="G167" s="73"/>
      <c r="H167" s="72"/>
      <c r="I167" s="72"/>
      <c r="J167" s="72"/>
      <c r="K167" s="72"/>
      <c r="L167" s="72"/>
      <c r="M167" s="71" t="s">
        <v>257</v>
      </c>
      <c r="N167" s="72"/>
    </row>
    <row r="168" spans="1:18">
      <c r="A168" s="13"/>
      <c r="B168" s="13"/>
      <c r="C168" s="13"/>
      <c r="D168" s="13"/>
      <c r="E168" s="13"/>
      <c r="F168" s="13"/>
      <c r="G168" s="13"/>
    </row>
    <row r="169" spans="1:18">
      <c r="A169" s="13"/>
      <c r="B169" s="13"/>
      <c r="C169" s="13"/>
      <c r="D169" s="13"/>
      <c r="E169" s="13"/>
      <c r="F169" s="13"/>
      <c r="G169" s="13"/>
    </row>
    <row r="170" spans="1:18">
      <c r="A170" s="13"/>
      <c r="B170" s="13"/>
      <c r="C170" s="13"/>
      <c r="D170" s="13"/>
      <c r="E170" s="13"/>
      <c r="F170" s="13"/>
      <c r="G170" s="13"/>
    </row>
    <row r="171" spans="1:18">
      <c r="A171" s="13"/>
      <c r="B171" s="13"/>
      <c r="C171" s="13"/>
      <c r="D171" s="13"/>
      <c r="E171" s="13"/>
      <c r="F171" s="13"/>
      <c r="G171" s="13"/>
    </row>
    <row r="172" spans="1:18">
      <c r="A172" s="13"/>
      <c r="B172" s="13"/>
      <c r="C172" s="13"/>
      <c r="D172" s="13"/>
      <c r="E172" s="13"/>
      <c r="F172" s="13"/>
      <c r="G172" s="13"/>
    </row>
    <row r="173" spans="1:18">
      <c r="A173" s="13"/>
      <c r="B173" s="13"/>
      <c r="C173" s="13"/>
      <c r="D173" s="13"/>
      <c r="E173" s="13"/>
      <c r="F173" s="13"/>
      <c r="G173" s="13"/>
    </row>
    <row r="174" spans="1:18">
      <c r="A174" s="13"/>
      <c r="B174" s="13"/>
      <c r="C174" s="13"/>
      <c r="D174" s="13"/>
      <c r="E174" s="13"/>
      <c r="F174" s="13"/>
      <c r="G174" s="13"/>
    </row>
    <row r="175" spans="1:18">
      <c r="A175" s="13"/>
      <c r="B175" s="13"/>
      <c r="C175" s="13"/>
      <c r="D175" s="13"/>
      <c r="E175" s="13"/>
      <c r="F175" s="13"/>
      <c r="G175" s="13"/>
    </row>
    <row r="176" spans="1:18">
      <c r="A176" s="13"/>
      <c r="B176" s="13"/>
      <c r="C176" s="13"/>
      <c r="D176" s="13"/>
      <c r="E176" s="13"/>
      <c r="F176" s="13"/>
      <c r="G176" s="13"/>
    </row>
    <row r="177" spans="1:7">
      <c r="A177" s="13"/>
      <c r="B177" s="13"/>
      <c r="C177" s="13"/>
      <c r="D177" s="13"/>
      <c r="E177" s="13"/>
      <c r="F177" s="13"/>
      <c r="G177" s="13"/>
    </row>
    <row r="178" spans="1:7">
      <c r="A178" s="13"/>
      <c r="B178" s="13"/>
      <c r="C178" s="13"/>
      <c r="D178" s="13"/>
      <c r="E178" s="13"/>
      <c r="F178" s="13"/>
      <c r="G178" s="13"/>
    </row>
    <row r="179" spans="1:7">
      <c r="A179" s="13"/>
      <c r="B179" s="13"/>
      <c r="C179" s="13"/>
      <c r="D179" s="13"/>
      <c r="E179" s="13"/>
      <c r="F179" s="13"/>
      <c r="G179" s="13"/>
    </row>
    <row r="180" spans="1:7">
      <c r="A180" s="13"/>
      <c r="B180" s="13"/>
      <c r="C180" s="13"/>
      <c r="D180" s="13"/>
      <c r="E180" s="13"/>
      <c r="F180" s="13"/>
      <c r="G180" s="13"/>
    </row>
    <row r="181" spans="1:7">
      <c r="A181" s="13"/>
      <c r="B181" s="13"/>
      <c r="C181" s="13"/>
      <c r="D181" s="13"/>
      <c r="E181" s="13"/>
      <c r="F181" s="13"/>
      <c r="G181" s="13"/>
    </row>
    <row r="182" spans="1:7">
      <c r="A182" s="13"/>
      <c r="B182" s="13"/>
      <c r="C182" s="13"/>
      <c r="D182" s="13"/>
      <c r="E182" s="13"/>
      <c r="F182" s="13"/>
      <c r="G182" s="13"/>
    </row>
    <row r="183" spans="1:7">
      <c r="A183" s="13"/>
      <c r="B183" s="13"/>
      <c r="C183" s="13"/>
      <c r="D183" s="13"/>
      <c r="E183" s="13"/>
      <c r="F183" s="13"/>
      <c r="G183" s="13"/>
    </row>
    <row r="184" spans="1:7">
      <c r="A184" s="13"/>
      <c r="B184" s="13"/>
      <c r="C184" s="13"/>
      <c r="D184" s="13"/>
      <c r="E184" s="13"/>
      <c r="F184" s="13"/>
      <c r="G184" s="13"/>
    </row>
    <row r="185" spans="1:7">
      <c r="A185" s="13"/>
      <c r="B185" s="13"/>
      <c r="C185" s="13"/>
      <c r="D185" s="13"/>
      <c r="E185" s="13"/>
      <c r="F185" s="13"/>
      <c r="G185" s="13"/>
    </row>
    <row r="186" spans="1:7">
      <c r="A186" s="13"/>
      <c r="B186" s="13"/>
      <c r="C186" s="13"/>
      <c r="D186" s="13"/>
      <c r="E186" s="13"/>
      <c r="F186" s="13"/>
      <c r="G186" s="13"/>
    </row>
    <row r="187" spans="1:7">
      <c r="A187" s="13"/>
      <c r="B187" s="13"/>
      <c r="C187" s="13"/>
      <c r="D187" s="13"/>
      <c r="E187" s="13"/>
      <c r="F187" s="13"/>
      <c r="G187" s="13"/>
    </row>
    <row r="188" spans="1:7">
      <c r="A188" s="13"/>
      <c r="B188" s="13"/>
      <c r="C188" s="13"/>
      <c r="D188" s="13"/>
      <c r="E188" s="13"/>
      <c r="F188" s="13"/>
      <c r="G188" s="13"/>
    </row>
    <row r="189" spans="1:7">
      <c r="A189" s="13"/>
      <c r="B189" s="13"/>
      <c r="C189" s="13"/>
      <c r="D189" s="13"/>
      <c r="E189" s="13"/>
      <c r="F189" s="13"/>
      <c r="G189" s="13"/>
    </row>
    <row r="190" spans="1:7">
      <c r="A190" s="13"/>
      <c r="B190" s="13"/>
      <c r="C190" s="13"/>
      <c r="D190" s="13"/>
      <c r="E190" s="13"/>
      <c r="F190" s="13"/>
      <c r="G190" s="13"/>
    </row>
    <row r="191" spans="1:7">
      <c r="A191" s="13"/>
      <c r="B191" s="13"/>
      <c r="C191" s="13"/>
      <c r="D191" s="13"/>
      <c r="E191" s="13"/>
      <c r="F191" s="13"/>
      <c r="G191" s="13"/>
    </row>
    <row r="192" spans="1:7">
      <c r="A192" s="13"/>
      <c r="B192" s="13"/>
      <c r="C192" s="13"/>
      <c r="D192" s="13"/>
      <c r="E192" s="13"/>
      <c r="F192" s="13"/>
      <c r="G192" s="13"/>
    </row>
    <row r="193" spans="1:7">
      <c r="A193" s="13"/>
      <c r="B193" s="13"/>
      <c r="C193" s="13"/>
      <c r="D193" s="13"/>
      <c r="E193" s="13"/>
      <c r="F193" s="13"/>
      <c r="G193" s="13"/>
    </row>
    <row r="194" spans="1:7">
      <c r="A194" s="13"/>
      <c r="B194" s="13"/>
      <c r="C194" s="13"/>
      <c r="D194" s="13"/>
      <c r="E194" s="13"/>
      <c r="F194" s="13"/>
      <c r="G194" s="13"/>
    </row>
    <row r="195" spans="1:7">
      <c r="A195" s="13"/>
      <c r="B195" s="13"/>
      <c r="C195" s="13"/>
      <c r="D195" s="13"/>
      <c r="E195" s="13"/>
      <c r="F195" s="13"/>
      <c r="G195" s="13"/>
    </row>
    <row r="196" spans="1:7">
      <c r="A196" s="13"/>
      <c r="B196" s="13"/>
      <c r="C196" s="13"/>
      <c r="D196" s="13"/>
      <c r="E196" s="13"/>
      <c r="F196" s="13"/>
      <c r="G196" s="13"/>
    </row>
    <row r="197" spans="1:7">
      <c r="A197" s="13"/>
      <c r="B197" s="13"/>
      <c r="C197" s="13"/>
      <c r="D197" s="13"/>
      <c r="E197" s="13"/>
      <c r="F197" s="13"/>
      <c r="G197" s="13"/>
    </row>
    <row r="198" spans="1:7">
      <c r="A198" s="13"/>
      <c r="B198" s="13"/>
      <c r="C198" s="13"/>
      <c r="D198" s="13"/>
      <c r="E198" s="13"/>
      <c r="F198" s="13"/>
      <c r="G198" s="13"/>
    </row>
    <row r="199" spans="1:7">
      <c r="A199" s="13"/>
      <c r="B199" s="13"/>
      <c r="C199" s="13"/>
      <c r="D199" s="13"/>
      <c r="E199" s="13"/>
      <c r="F199" s="13"/>
      <c r="G199" s="13"/>
    </row>
    <row r="200" spans="1:7">
      <c r="A200" s="13"/>
      <c r="B200" s="13"/>
      <c r="C200" s="13"/>
      <c r="D200" s="13"/>
      <c r="E200" s="13"/>
      <c r="F200" s="13"/>
      <c r="G200" s="13"/>
    </row>
    <row r="201" spans="1:7">
      <c r="A201" s="13"/>
      <c r="B201" s="13"/>
      <c r="C201" s="13"/>
      <c r="D201" s="13"/>
      <c r="E201" s="13"/>
      <c r="F201" s="13"/>
      <c r="G201" s="13"/>
    </row>
    <row r="202" spans="1:7">
      <c r="A202" s="13"/>
      <c r="B202" s="13"/>
      <c r="C202" s="13"/>
      <c r="D202" s="13"/>
      <c r="E202" s="13"/>
      <c r="F202" s="13"/>
      <c r="G202" s="13"/>
    </row>
    <row r="203" spans="1:7">
      <c r="A203" s="13"/>
      <c r="B203" s="13"/>
      <c r="C203" s="13"/>
      <c r="D203" s="13"/>
      <c r="E203" s="13"/>
      <c r="F203" s="13"/>
      <c r="G203" s="13"/>
    </row>
    <row r="204" spans="1:7">
      <c r="A204" s="13"/>
      <c r="B204" s="13"/>
      <c r="C204" s="13"/>
      <c r="D204" s="13"/>
      <c r="E204" s="13"/>
      <c r="F204" s="13"/>
      <c r="G204" s="13"/>
    </row>
    <row r="205" spans="1:7">
      <c r="A205" s="13"/>
      <c r="B205" s="13"/>
      <c r="C205" s="13"/>
      <c r="D205" s="13"/>
      <c r="E205" s="13"/>
      <c r="F205" s="13"/>
      <c r="G205" s="13"/>
    </row>
    <row r="206" spans="1:7">
      <c r="A206" s="13"/>
      <c r="B206" s="13"/>
      <c r="C206" s="13"/>
      <c r="D206" s="13"/>
      <c r="E206" s="13"/>
      <c r="F206" s="13"/>
      <c r="G206" s="13"/>
    </row>
    <row r="207" spans="1:7">
      <c r="A207" s="13"/>
      <c r="B207" s="13"/>
      <c r="C207" s="13"/>
      <c r="D207" s="13"/>
      <c r="E207" s="13"/>
      <c r="F207" s="13"/>
      <c r="G207" s="13"/>
    </row>
    <row r="208" spans="1:7">
      <c r="A208" s="13"/>
      <c r="B208" s="13"/>
      <c r="C208" s="13"/>
      <c r="D208" s="13"/>
      <c r="E208" s="13"/>
      <c r="F208" s="13"/>
      <c r="G208" s="13"/>
    </row>
    <row r="209" spans="1:23">
      <c r="A209" s="13"/>
      <c r="B209" s="13"/>
      <c r="C209" s="13"/>
      <c r="D209" s="13"/>
      <c r="E209" s="13"/>
      <c r="F209" s="13"/>
      <c r="G209" s="13"/>
    </row>
    <row r="210" spans="1:23">
      <c r="A210" s="13"/>
      <c r="B210" s="13"/>
      <c r="C210" s="13"/>
      <c r="D210" s="13"/>
      <c r="E210" s="13"/>
      <c r="F210" s="13"/>
      <c r="G210" s="13"/>
    </row>
    <row r="211" spans="1:23">
      <c r="A211" s="13"/>
      <c r="B211" s="13"/>
      <c r="C211" s="13"/>
      <c r="D211" s="13"/>
      <c r="E211" s="13"/>
      <c r="F211" s="13"/>
      <c r="G211" s="13"/>
    </row>
    <row r="212" spans="1:23">
      <c r="A212" s="13"/>
      <c r="B212" s="13"/>
      <c r="C212" s="13"/>
      <c r="D212" s="13"/>
      <c r="E212" s="13"/>
      <c r="F212" s="13"/>
      <c r="G212" s="13"/>
      <c r="P212" s="47"/>
      <c r="Q212" s="47"/>
      <c r="R212" s="47"/>
    </row>
    <row r="213" spans="1:23">
      <c r="E213" s="13"/>
      <c r="F213" s="13"/>
      <c r="G213" s="13"/>
    </row>
    <row r="214" spans="1:23">
      <c r="E214" s="13"/>
      <c r="F214" s="13"/>
      <c r="G214" s="13"/>
    </row>
    <row r="215" spans="1:23">
      <c r="A215" s="47"/>
      <c r="B215" s="47"/>
      <c r="C215" s="47"/>
      <c r="D215" s="47"/>
      <c r="E215" s="13"/>
      <c r="F215" s="13"/>
      <c r="G215" s="13"/>
      <c r="S215" s="47"/>
      <c r="T215" s="47"/>
      <c r="U215" s="47"/>
      <c r="V215" s="47"/>
      <c r="W215" s="47"/>
    </row>
    <row r="218" spans="1:23" s="47" customFormat="1">
      <c r="A218"/>
      <c r="B218"/>
      <c r="C218"/>
      <c r="D218"/>
      <c r="P218"/>
      <c r="Q218"/>
      <c r="R218"/>
      <c r="S218"/>
      <c r="T218"/>
      <c r="U218"/>
      <c r="V218"/>
      <c r="W218"/>
    </row>
    <row r="223" spans="1:23" ht="15.75">
      <c r="A223" s="48"/>
      <c r="B223" s="49"/>
      <c r="C223" s="50"/>
      <c r="D223" s="51"/>
    </row>
    <row r="225" spans="1:4" ht="15.75">
      <c r="A225" s="52"/>
      <c r="B225" s="52"/>
      <c r="C225" s="52"/>
      <c r="D225" s="52"/>
    </row>
    <row r="226" spans="1:4" ht="15.75">
      <c r="A226" s="52"/>
      <c r="B226" s="52"/>
      <c r="C226" s="52"/>
      <c r="D226" s="52"/>
    </row>
    <row r="227" spans="1:4" ht="15.75">
      <c r="A227" s="52"/>
      <c r="B227" s="52"/>
      <c r="C227" s="52"/>
      <c r="D227" s="52"/>
    </row>
    <row r="228" spans="1:4" ht="15.75">
      <c r="A228" s="52"/>
      <c r="B228" s="52"/>
      <c r="C228" s="52"/>
      <c r="D228" s="52"/>
    </row>
    <row r="229" spans="1:4" ht="15.75">
      <c r="A229" s="52"/>
      <c r="B229" s="52"/>
      <c r="C229" s="52"/>
      <c r="D229" s="52"/>
    </row>
    <row r="230" spans="1:4" ht="15.75">
      <c r="A230" s="52"/>
      <c r="B230" s="52"/>
      <c r="C230" s="52"/>
      <c r="D230" s="52"/>
    </row>
    <row r="231" spans="1:4" ht="15.75">
      <c r="A231" s="52"/>
      <c r="B231" s="52"/>
      <c r="C231" s="52"/>
      <c r="D231" s="52"/>
    </row>
    <row r="232" spans="1:4" ht="15.75">
      <c r="A232" s="52"/>
      <c r="B232" s="52"/>
      <c r="C232" s="52"/>
      <c r="D232" s="52"/>
    </row>
    <row r="233" spans="1:4" ht="15.75">
      <c r="A233" s="52"/>
      <c r="B233" s="52"/>
      <c r="C233" s="52"/>
      <c r="D233" s="52"/>
    </row>
    <row r="234" spans="1:4" ht="15.75">
      <c r="A234" s="52"/>
      <c r="B234" s="52"/>
      <c r="C234" s="52"/>
      <c r="D234" s="52"/>
    </row>
    <row r="235" spans="1:4" ht="15.75">
      <c r="A235" s="52"/>
      <c r="B235" s="52"/>
      <c r="C235" s="52"/>
      <c r="D235" s="52"/>
    </row>
    <row r="236" spans="1:4" ht="15.75">
      <c r="A236" s="52"/>
      <c r="B236" s="52"/>
      <c r="C236" s="52"/>
      <c r="D236" s="52"/>
    </row>
    <row r="237" spans="1:4" ht="15.75">
      <c r="A237" s="52"/>
      <c r="B237" s="52"/>
      <c r="C237" s="52"/>
      <c r="D237" s="52"/>
    </row>
    <row r="238" spans="1:4" ht="15.75">
      <c r="A238" s="52"/>
      <c r="B238" s="52"/>
      <c r="C238" s="52"/>
      <c r="D238" s="52"/>
    </row>
    <row r="239" spans="1:4" ht="15.75">
      <c r="A239" s="52"/>
      <c r="B239" s="52"/>
      <c r="C239" s="52"/>
      <c r="D239" s="52"/>
    </row>
  </sheetData>
  <mergeCells count="24">
    <mergeCell ref="A3:R3"/>
    <mergeCell ref="A1:R2"/>
    <mergeCell ref="A4:A6"/>
    <mergeCell ref="B4:B6"/>
    <mergeCell ref="C4:C6"/>
    <mergeCell ref="D4:N4"/>
    <mergeCell ref="O4:R4"/>
    <mergeCell ref="D5:D6"/>
    <mergeCell ref="E5:E6"/>
    <mergeCell ref="F5:F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153:A154"/>
    <mergeCell ref="B153:B154"/>
    <mergeCell ref="M5:M6"/>
    <mergeCell ref="N5:N6"/>
    <mergeCell ref="O5:O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2017-06-29T11:04:42Z</dcterms:modified>
</cp:coreProperties>
</file>