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ГУ ПГУ СГУ " sheetId="1" r:id="rId1"/>
  </sheets>
  <calcPr calcId="124519" iterate="1" iterateCount="10"/>
</workbook>
</file>

<file path=xl/calcChain.xml><?xml version="1.0" encoding="utf-8"?>
<calcChain xmlns="http://schemas.openxmlformats.org/spreadsheetml/2006/main">
  <c r="N41" i="1"/>
  <c r="N85" l="1"/>
  <c r="N91"/>
  <c r="N92"/>
  <c r="N55"/>
  <c r="N56" s="1"/>
  <c r="N16" l="1"/>
  <c r="N143"/>
  <c r="N145"/>
  <c r="N144"/>
  <c r="O77"/>
  <c r="N12"/>
  <c r="E145" l="1"/>
  <c r="E144"/>
  <c r="E143"/>
  <c r="O142"/>
  <c r="P142" s="1"/>
  <c r="E142"/>
  <c r="E141"/>
  <c r="O141" s="1"/>
  <c r="P141" s="1"/>
  <c r="E140"/>
  <c r="O140" s="1"/>
  <c r="P140" s="1"/>
  <c r="D140"/>
  <c r="M138"/>
  <c r="L138"/>
  <c r="K138"/>
  <c r="J138"/>
  <c r="I138"/>
  <c r="E138"/>
  <c r="G137" s="1"/>
  <c r="H137"/>
  <c r="H138" s="1"/>
  <c r="D137"/>
  <c r="D135" s="1"/>
  <c r="E135" s="1"/>
  <c r="N136"/>
  <c r="E136"/>
  <c r="E137" s="1"/>
  <c r="M135"/>
  <c r="L135"/>
  <c r="K135"/>
  <c r="J135"/>
  <c r="I135"/>
  <c r="E134"/>
  <c r="E132"/>
  <c r="O132" s="1"/>
  <c r="E131"/>
  <c r="O131" s="1"/>
  <c r="E130"/>
  <c r="O130" s="1"/>
  <c r="E129"/>
  <c r="O129" s="1"/>
  <c r="E128"/>
  <c r="O128" s="1"/>
  <c r="M127"/>
  <c r="E127"/>
  <c r="O127" s="1"/>
  <c r="P127" s="1"/>
  <c r="M126"/>
  <c r="E126"/>
  <c r="O126" s="1"/>
  <c r="N125"/>
  <c r="E125"/>
  <c r="E124"/>
  <c r="O124" s="1"/>
  <c r="P124" s="1"/>
  <c r="E123"/>
  <c r="O123" s="1"/>
  <c r="P123" s="1"/>
  <c r="E122"/>
  <c r="O122" s="1"/>
  <c r="P122" s="1"/>
  <c r="M121"/>
  <c r="K121"/>
  <c r="K115" s="1"/>
  <c r="I121"/>
  <c r="I115" s="1"/>
  <c r="E121"/>
  <c r="O121" s="1"/>
  <c r="P121" s="1"/>
  <c r="N120"/>
  <c r="E120"/>
  <c r="M119"/>
  <c r="M118" s="1"/>
  <c r="E119"/>
  <c r="E118"/>
  <c r="M117"/>
  <c r="E117"/>
  <c r="O117" s="1"/>
  <c r="P117" s="1"/>
  <c r="G116"/>
  <c r="G115" s="1"/>
  <c r="E116"/>
  <c r="O116" s="1"/>
  <c r="P116" s="1"/>
  <c r="L115"/>
  <c r="J115"/>
  <c r="H115"/>
  <c r="F115"/>
  <c r="D115"/>
  <c r="M114"/>
  <c r="M110" s="1"/>
  <c r="E114"/>
  <c r="O114" s="1"/>
  <c r="P114" s="1"/>
  <c r="E113"/>
  <c r="O113" s="1"/>
  <c r="P113" s="1"/>
  <c r="E112"/>
  <c r="O112" s="1"/>
  <c r="P112" s="1"/>
  <c r="G111"/>
  <c r="G110" s="1"/>
  <c r="E111"/>
  <c r="O111" s="1"/>
  <c r="P111" s="1"/>
  <c r="N110"/>
  <c r="L110"/>
  <c r="K110"/>
  <c r="J110"/>
  <c r="I110"/>
  <c r="H110"/>
  <c r="F110"/>
  <c r="D110"/>
  <c r="E110" s="1"/>
  <c r="M109"/>
  <c r="M108" s="1"/>
  <c r="E109"/>
  <c r="O109" s="1"/>
  <c r="P109" s="1"/>
  <c r="N108"/>
  <c r="L108"/>
  <c r="K108"/>
  <c r="J108"/>
  <c r="I108"/>
  <c r="H108"/>
  <c r="G108"/>
  <c r="F108"/>
  <c r="D108"/>
  <c r="E108" s="1"/>
  <c r="O108" s="1"/>
  <c r="P108" s="1"/>
  <c r="O107"/>
  <c r="P107" s="1"/>
  <c r="E107"/>
  <c r="E106"/>
  <c r="O106" s="1"/>
  <c r="E105"/>
  <c r="O105" s="1"/>
  <c r="E104"/>
  <c r="O104" s="1"/>
  <c r="M103"/>
  <c r="L103"/>
  <c r="K103"/>
  <c r="J103"/>
  <c r="I103"/>
  <c r="H103"/>
  <c r="G103"/>
  <c r="F103"/>
  <c r="E103"/>
  <c r="O103" s="1"/>
  <c r="P103" s="1"/>
  <c r="M102"/>
  <c r="E102"/>
  <c r="O102" s="1"/>
  <c r="P102" s="1"/>
  <c r="E101"/>
  <c r="P101" s="1"/>
  <c r="E100"/>
  <c r="P100" s="1"/>
  <c r="E99"/>
  <c r="P99" s="1"/>
  <c r="P98"/>
  <c r="E98"/>
  <c r="M97"/>
  <c r="E97"/>
  <c r="P97" s="1"/>
  <c r="P96"/>
  <c r="E96"/>
  <c r="E95"/>
  <c r="P95" s="1"/>
  <c r="P94"/>
  <c r="E94"/>
  <c r="E93"/>
  <c r="P93" s="1"/>
  <c r="M92"/>
  <c r="E92"/>
  <c r="O92" s="1"/>
  <c r="P92" s="1"/>
  <c r="M91"/>
  <c r="E91"/>
  <c r="O91" s="1"/>
  <c r="P91" s="1"/>
  <c r="E90"/>
  <c r="O90" s="1"/>
  <c r="M89"/>
  <c r="E89"/>
  <c r="O89" s="1"/>
  <c r="E88"/>
  <c r="O88" s="1"/>
  <c r="M87"/>
  <c r="E87"/>
  <c r="O87" s="1"/>
  <c r="P87" s="1"/>
  <c r="M86"/>
  <c r="L86"/>
  <c r="E86"/>
  <c r="O86" s="1"/>
  <c r="P86" s="1"/>
  <c r="AO85"/>
  <c r="M85"/>
  <c r="L85"/>
  <c r="K85"/>
  <c r="J85"/>
  <c r="I85"/>
  <c r="H85"/>
  <c r="G85"/>
  <c r="F85"/>
  <c r="E85"/>
  <c r="O145"/>
  <c r="P145" s="1"/>
  <c r="M84"/>
  <c r="E84"/>
  <c r="O84" s="1"/>
  <c r="P84" s="1"/>
  <c r="N81"/>
  <c r="O81" s="1"/>
  <c r="P81" s="1"/>
  <c r="E81"/>
  <c r="O80"/>
  <c r="N78"/>
  <c r="E78"/>
  <c r="E76"/>
  <c r="O76" s="1"/>
  <c r="P76" s="1"/>
  <c r="E75"/>
  <c r="O75" s="1"/>
  <c r="P75" s="1"/>
  <c r="N74"/>
  <c r="H74"/>
  <c r="F74"/>
  <c r="E74"/>
  <c r="H73"/>
  <c r="F73"/>
  <c r="E73"/>
  <c r="O73" s="1"/>
  <c r="P73" s="1"/>
  <c r="E72"/>
  <c r="O72" s="1"/>
  <c r="P72" s="1"/>
  <c r="N71"/>
  <c r="E71"/>
  <c r="E70"/>
  <c r="O70" s="1"/>
  <c r="P70" s="1"/>
  <c r="E69"/>
  <c r="O69" s="1"/>
  <c r="P69" s="1"/>
  <c r="H68"/>
  <c r="H66" s="1"/>
  <c r="E68"/>
  <c r="O68" s="1"/>
  <c r="P68" s="1"/>
  <c r="N67"/>
  <c r="E67"/>
  <c r="O67" s="1"/>
  <c r="P67" s="1"/>
  <c r="M66"/>
  <c r="L66"/>
  <c r="K66"/>
  <c r="J66"/>
  <c r="I66"/>
  <c r="G66"/>
  <c r="F66"/>
  <c r="D66"/>
  <c r="E66" s="1"/>
  <c r="E64"/>
  <c r="O64" s="1"/>
  <c r="E63"/>
  <c r="O63" s="1"/>
  <c r="O62"/>
  <c r="E62"/>
  <c r="N61"/>
  <c r="L61"/>
  <c r="K61"/>
  <c r="J61"/>
  <c r="I61"/>
  <c r="H61"/>
  <c r="G61"/>
  <c r="F61"/>
  <c r="E61"/>
  <c r="O60"/>
  <c r="P60" s="1"/>
  <c r="H60"/>
  <c r="F60"/>
  <c r="E60"/>
  <c r="O58"/>
  <c r="E58"/>
  <c r="N57"/>
  <c r="H57"/>
  <c r="G57"/>
  <c r="F57"/>
  <c r="E57"/>
  <c r="L56"/>
  <c r="K56"/>
  <c r="J56"/>
  <c r="I56"/>
  <c r="H56"/>
  <c r="G56"/>
  <c r="G54" s="1"/>
  <c r="F56"/>
  <c r="D56"/>
  <c r="AP55"/>
  <c r="O144"/>
  <c r="P144" s="1"/>
  <c r="L55"/>
  <c r="L54" s="1"/>
  <c r="K55"/>
  <c r="J55"/>
  <c r="I55"/>
  <c r="I54" s="1"/>
  <c r="H55"/>
  <c r="H54" s="1"/>
  <c r="G55"/>
  <c r="F55"/>
  <c r="E55"/>
  <c r="E54" s="1"/>
  <c r="M54"/>
  <c r="K54"/>
  <c r="J54"/>
  <c r="F54"/>
  <c r="D54"/>
  <c r="N53"/>
  <c r="E53"/>
  <c r="H52"/>
  <c r="N52" s="1"/>
  <c r="O52" s="1"/>
  <c r="N51"/>
  <c r="E51"/>
  <c r="O51" s="1"/>
  <c r="P51" s="1"/>
  <c r="N50"/>
  <c r="E50"/>
  <c r="E49"/>
  <c r="G48"/>
  <c r="G49" s="1"/>
  <c r="N49" s="1"/>
  <c r="O49" s="1"/>
  <c r="E48"/>
  <c r="F47"/>
  <c r="N47" s="1"/>
  <c r="O47" s="1"/>
  <c r="P47" s="1"/>
  <c r="E47"/>
  <c r="N46"/>
  <c r="E46"/>
  <c r="D46"/>
  <c r="N45"/>
  <c r="E45"/>
  <c r="E44"/>
  <c r="O44" s="1"/>
  <c r="P44" s="1"/>
  <c r="E42"/>
  <c r="M41"/>
  <c r="L41"/>
  <c r="L12" s="1"/>
  <c r="K41"/>
  <c r="K12" s="1"/>
  <c r="J41"/>
  <c r="I41"/>
  <c r="H41"/>
  <c r="G41"/>
  <c r="F41"/>
  <c r="E41"/>
  <c r="N40"/>
  <c r="E40"/>
  <c r="N39"/>
  <c r="E39"/>
  <c r="N38"/>
  <c r="E38"/>
  <c r="N37"/>
  <c r="E37"/>
  <c r="N36"/>
  <c r="E36"/>
  <c r="N35"/>
  <c r="E35"/>
  <c r="N34"/>
  <c r="E34"/>
  <c r="N33"/>
  <c r="E33"/>
  <c r="N32"/>
  <c r="E32"/>
  <c r="O31"/>
  <c r="P31" s="1"/>
  <c r="E31"/>
  <c r="E30"/>
  <c r="O30" s="1"/>
  <c r="N29"/>
  <c r="E29"/>
  <c r="N28"/>
  <c r="E28"/>
  <c r="G27"/>
  <c r="E27"/>
  <c r="E26"/>
  <c r="O26" s="1"/>
  <c r="P26" s="1"/>
  <c r="N25"/>
  <c r="E25"/>
  <c r="G24"/>
  <c r="E24"/>
  <c r="O24" s="1"/>
  <c r="P24" s="1"/>
  <c r="P23"/>
  <c r="O23"/>
  <c r="E23"/>
  <c r="O22"/>
  <c r="G21"/>
  <c r="N21" s="1"/>
  <c r="O21" s="1"/>
  <c r="P21" s="1"/>
  <c r="E21"/>
  <c r="E20"/>
  <c r="O20" s="1"/>
  <c r="P20" s="1"/>
  <c r="O19"/>
  <c r="H19"/>
  <c r="G19"/>
  <c r="F18"/>
  <c r="F19" s="1"/>
  <c r="E18"/>
  <c r="H17"/>
  <c r="H16" s="1"/>
  <c r="H15" s="1"/>
  <c r="E17"/>
  <c r="E16"/>
  <c r="O15"/>
  <c r="P15" s="1"/>
  <c r="I15"/>
  <c r="I12" s="1"/>
  <c r="E15"/>
  <c r="I14"/>
  <c r="H14"/>
  <c r="E14"/>
  <c r="O14" s="1"/>
  <c r="P14" s="1"/>
  <c r="I13"/>
  <c r="H13"/>
  <c r="F13"/>
  <c r="E13"/>
  <c r="O13" s="1"/>
  <c r="P13" s="1"/>
  <c r="M12"/>
  <c r="J12"/>
  <c r="E12"/>
  <c r="D12"/>
  <c r="O57" l="1"/>
  <c r="P57" s="1"/>
  <c r="O136"/>
  <c r="P136" s="1"/>
  <c r="O25"/>
  <c r="O34"/>
  <c r="P34" s="1"/>
  <c r="O36"/>
  <c r="O38"/>
  <c r="P38" s="1"/>
  <c r="O40"/>
  <c r="P40" s="1"/>
  <c r="O46"/>
  <c r="O53"/>
  <c r="P53" s="1"/>
  <c r="O61"/>
  <c r="P61" s="1"/>
  <c r="N66"/>
  <c r="N65" s="1"/>
  <c r="N59" s="1"/>
  <c r="O78"/>
  <c r="P78" s="1"/>
  <c r="D83"/>
  <c r="D82" s="1"/>
  <c r="O110"/>
  <c r="P110" s="1"/>
  <c r="O71"/>
  <c r="P71" s="1"/>
  <c r="O120"/>
  <c r="O33"/>
  <c r="O125"/>
  <c r="P125" s="1"/>
  <c r="M115"/>
  <c r="O74"/>
  <c r="P74" s="1"/>
  <c r="D65"/>
  <c r="E65" s="1"/>
  <c r="F65" s="1"/>
  <c r="G65" s="1"/>
  <c r="H65" s="1"/>
  <c r="I65" s="1"/>
  <c r="O45"/>
  <c r="P45" s="1"/>
  <c r="O50"/>
  <c r="P50" s="1"/>
  <c r="H12"/>
  <c r="O29"/>
  <c r="P29" s="1"/>
  <c r="O27"/>
  <c r="P27" s="1"/>
  <c r="O32"/>
  <c r="P32" s="1"/>
  <c r="O35"/>
  <c r="P35" s="1"/>
  <c r="O37"/>
  <c r="P37" s="1"/>
  <c r="O39"/>
  <c r="O28"/>
  <c r="G138"/>
  <c r="G135"/>
  <c r="G17"/>
  <c r="G16" s="1"/>
  <c r="G15" s="1"/>
  <c r="G12" s="1"/>
  <c r="F17"/>
  <c r="N18"/>
  <c r="O18" s="1"/>
  <c r="P18" s="1"/>
  <c r="O43"/>
  <c r="P43" s="1"/>
  <c r="N48"/>
  <c r="O48" s="1"/>
  <c r="P48" s="1"/>
  <c r="N54"/>
  <c r="O55"/>
  <c r="P55" s="1"/>
  <c r="N119"/>
  <c r="F137"/>
  <c r="N137" s="1"/>
  <c r="N135" s="1"/>
  <c r="O56"/>
  <c r="P56" s="1"/>
  <c r="O143"/>
  <c r="P143" s="1"/>
  <c r="H135"/>
  <c r="D59" l="1"/>
  <c r="E59" s="1"/>
  <c r="E11" s="1"/>
  <c r="G59"/>
  <c r="G11" s="1"/>
  <c r="O54"/>
  <c r="P54" s="1"/>
  <c r="W83"/>
  <c r="X83" s="1"/>
  <c r="E83"/>
  <c r="J65"/>
  <c r="I59"/>
  <c r="I11" s="1"/>
  <c r="F59"/>
  <c r="H59"/>
  <c r="H11" s="1"/>
  <c r="O119"/>
  <c r="N118"/>
  <c r="N115" s="1"/>
  <c r="O17"/>
  <c r="P17" s="1"/>
  <c r="F16"/>
  <c r="F138"/>
  <c r="F135"/>
  <c r="O85"/>
  <c r="P85" s="1"/>
  <c r="N11"/>
  <c r="O66"/>
  <c r="P66" s="1"/>
  <c r="N42"/>
  <c r="F83" l="1"/>
  <c r="F82" s="1"/>
  <c r="E82"/>
  <c r="E133" s="1"/>
  <c r="D11"/>
  <c r="D133" s="1"/>
  <c r="K65"/>
  <c r="J59"/>
  <c r="J11" s="1"/>
  <c r="O65"/>
  <c r="P65" s="1"/>
  <c r="O59"/>
  <c r="P59" s="1"/>
  <c r="O118"/>
  <c r="P118" s="1"/>
  <c r="O42"/>
  <c r="P42" s="1"/>
  <c r="O16"/>
  <c r="P16" s="1"/>
  <c r="F15"/>
  <c r="F12" s="1"/>
  <c r="F11" s="1"/>
  <c r="G83" l="1"/>
  <c r="H83" s="1"/>
  <c r="F133"/>
  <c r="F134" s="1"/>
  <c r="K59"/>
  <c r="K11" s="1"/>
  <c r="L65"/>
  <c r="O115"/>
  <c r="P115" s="1"/>
  <c r="N83"/>
  <c r="O41"/>
  <c r="P41" s="1"/>
  <c r="G82" l="1"/>
  <c r="G133" s="1"/>
  <c r="G134" s="1"/>
  <c r="I83"/>
  <c r="H82"/>
  <c r="H133" s="1"/>
  <c r="H134" s="1"/>
  <c r="L59"/>
  <c r="L11" s="1"/>
  <c r="M65"/>
  <c r="M59" s="1"/>
  <c r="M11" s="1"/>
  <c r="O83"/>
  <c r="P83" s="1"/>
  <c r="N82"/>
  <c r="O12"/>
  <c r="P12" s="1"/>
  <c r="O82" l="1"/>
  <c r="P82" s="1"/>
  <c r="N133"/>
  <c r="J83"/>
  <c r="I82"/>
  <c r="I133" s="1"/>
  <c r="I134" s="1"/>
  <c r="O11"/>
  <c r="P11" s="1"/>
  <c r="K83" l="1"/>
  <c r="J82"/>
  <c r="J133" s="1"/>
  <c r="J134" s="1"/>
  <c r="O133"/>
  <c r="P133" s="1"/>
  <c r="L83" l="1"/>
  <c r="K82"/>
  <c r="K133" s="1"/>
  <c r="K134" s="1"/>
  <c r="M83" l="1"/>
  <c r="M82" s="1"/>
  <c r="M133" s="1"/>
  <c r="M134" s="1"/>
  <c r="L82"/>
  <c r="L133" s="1"/>
  <c r="L134" s="1"/>
  <c r="N134" l="1"/>
  <c r="O134" s="1"/>
  <c r="P134" s="1"/>
  <c r="N138"/>
  <c r="O138" s="1"/>
  <c r="P138" s="1"/>
  <c r="O137"/>
  <c r="P137" s="1"/>
  <c r="O135" l="1"/>
  <c r="P135" s="1"/>
</calcChain>
</file>

<file path=xl/sharedStrings.xml><?xml version="1.0" encoding="utf-8"?>
<sst xmlns="http://schemas.openxmlformats.org/spreadsheetml/2006/main" count="805" uniqueCount="288">
  <si>
    <t>Акмолинский филиал Республиканского государственного предприятия на праве хозяйственного ведения "Казводхоз" КВР Министерства сельского хозяйства РК</t>
  </si>
  <si>
    <t xml:space="preserve">Исполнение тарифной сметы на услугу по регулированию поверхностного стока при помощи подпорных гидротехнических сооружений по Астанинскому, Селетинскому, Преображенскому гидроузлам </t>
  </si>
  <si>
    <t>за  2016 год</t>
  </si>
  <si>
    <t>№ п/п</t>
  </si>
  <si>
    <t>Наименование</t>
  </si>
  <si>
    <t>Единица измерен.</t>
  </si>
  <si>
    <t>Утверждено уполномоченным органом за 2016 год.</t>
  </si>
  <si>
    <t>Утверждено уполномоченным органом за 12 месяц 2016 год.</t>
  </si>
  <si>
    <t xml:space="preserve">АГУ </t>
  </si>
  <si>
    <t xml:space="preserve">ПГУ </t>
  </si>
  <si>
    <t>СГУ</t>
  </si>
  <si>
    <t>РЭУ</t>
  </si>
  <si>
    <t>ТБ</t>
  </si>
  <si>
    <t>ОМТС</t>
  </si>
  <si>
    <t>КГВ Эксплуатация</t>
  </si>
  <si>
    <t>АУП</t>
  </si>
  <si>
    <t>Факт за 12 месяц 2016 год.</t>
  </si>
  <si>
    <t xml:space="preserve">Отклонение </t>
  </si>
  <si>
    <t>(+,-)</t>
  </si>
  <si>
    <t>%</t>
  </si>
  <si>
    <t>I</t>
  </si>
  <si>
    <t>Затраты на производство и представление услуг-всего</t>
  </si>
  <si>
    <t>тыс.тенге</t>
  </si>
  <si>
    <t>1.</t>
  </si>
  <si>
    <t>Материальные затраты, всего</t>
  </si>
  <si>
    <t>1.1.</t>
  </si>
  <si>
    <t>Сырьё и материалы, всего</t>
  </si>
  <si>
    <t>в связи с увеличением цен на материалы</t>
  </si>
  <si>
    <t>1.2.</t>
  </si>
  <si>
    <t>Запасные части</t>
  </si>
  <si>
    <t>не было предусмотрена списание шин на 132 тыс Нокиан на джип</t>
  </si>
  <si>
    <t>1.3.</t>
  </si>
  <si>
    <t xml:space="preserve">ГСМ </t>
  </si>
  <si>
    <t>1.3.1.</t>
  </si>
  <si>
    <t>Бензин</t>
  </si>
  <si>
    <t>Аи 92</t>
  </si>
  <si>
    <t>объем</t>
  </si>
  <si>
    <t>л</t>
  </si>
  <si>
    <t>за счет уменьшения количества использ машин работающих на Аи80 и на дизтопливо</t>
  </si>
  <si>
    <t>цена</t>
  </si>
  <si>
    <t>тенге</t>
  </si>
  <si>
    <t>Аи 80</t>
  </si>
  <si>
    <t>уменьшилось количество испол машиин работ на АИ80</t>
  </si>
  <si>
    <t>1.3.2.</t>
  </si>
  <si>
    <t>Дизтопливо</t>
  </si>
  <si>
    <t>уменьшилось количество испол-я машин работ на диз.топл</t>
  </si>
  <si>
    <t>1.3.3.</t>
  </si>
  <si>
    <t>Масла и смазки</t>
  </si>
  <si>
    <t>моторное масло</t>
  </si>
  <si>
    <t>трансмисионное</t>
  </si>
  <si>
    <t>не предусматривалось</t>
  </si>
  <si>
    <t>специальное</t>
  </si>
  <si>
    <t>пластичиские</t>
  </si>
  <si>
    <t>кг</t>
  </si>
  <si>
    <t>1.4.</t>
  </si>
  <si>
    <t>Электроэнергия</t>
  </si>
  <si>
    <t>электроэнергия</t>
  </si>
  <si>
    <t>общая сумма</t>
  </si>
  <si>
    <t>кВт</t>
  </si>
  <si>
    <t>ТОО "АРЭК-Энергосбыт" п.Аршалы (Астанинский гидроузел)</t>
  </si>
  <si>
    <t>ТОО "АРЭК-Энергосбыт"  (Преображенский гидроузел)</t>
  </si>
  <si>
    <t>ТОО "АРЭК-Энергосбыт" г.Степногорск (Селетинский гидроузел)</t>
  </si>
  <si>
    <t>2.</t>
  </si>
  <si>
    <t>Затраты на оплату труда, всего</t>
  </si>
  <si>
    <t>2.1.</t>
  </si>
  <si>
    <t>Заработная плата производственного персонала</t>
  </si>
  <si>
    <t>6546+</t>
  </si>
  <si>
    <t>с ауп</t>
  </si>
  <si>
    <t>2.2.</t>
  </si>
  <si>
    <t>Социальный налог</t>
  </si>
  <si>
    <t>3.</t>
  </si>
  <si>
    <t>Амортизация</t>
  </si>
  <si>
    <t>минус 88 тыс</t>
  </si>
  <si>
    <t>2.2.1.</t>
  </si>
  <si>
    <t>соц.отчисления</t>
  </si>
  <si>
    <t>4.</t>
  </si>
  <si>
    <t>Капритальный ремонт не приводящий к увеличению стоимости основных средств</t>
  </si>
  <si>
    <t>2.2.2.</t>
  </si>
  <si>
    <t>соц.налог</t>
  </si>
  <si>
    <t>5.</t>
  </si>
  <si>
    <t>Прочие затраты, всего</t>
  </si>
  <si>
    <t>5.1.</t>
  </si>
  <si>
    <t>Услуги связи</t>
  </si>
  <si>
    <t>5.2.</t>
  </si>
  <si>
    <t>Командировки</t>
  </si>
  <si>
    <t>5.2.1.</t>
  </si>
  <si>
    <t>проживание</t>
  </si>
  <si>
    <t>5.2.2.</t>
  </si>
  <si>
    <t>за проезд</t>
  </si>
  <si>
    <t>5.2.3.</t>
  </si>
  <si>
    <t>суточные</t>
  </si>
  <si>
    <t>5.3.</t>
  </si>
  <si>
    <t>Охрана труда и ТБ</t>
  </si>
  <si>
    <t>5.3.1.</t>
  </si>
  <si>
    <t>страхование в том числе:</t>
  </si>
  <si>
    <t>5.3.1.1.</t>
  </si>
  <si>
    <t>обязательное страхование ГПО владльцев объектов, деятельность связанная с опасностью причинения вреда третьим лицам</t>
  </si>
  <si>
    <t>5.3.1.2.</t>
  </si>
  <si>
    <t>обязательное страхование владельцев ТС</t>
  </si>
  <si>
    <t>5.3.1.3.</t>
  </si>
  <si>
    <t>обязательное страхование ГПО перевозчика перед пассажироми</t>
  </si>
  <si>
    <t>5.3.1.4.</t>
  </si>
  <si>
    <t>обследование грузоподъемного крана</t>
  </si>
  <si>
    <t>5.3.1.5.</t>
  </si>
  <si>
    <t>обязательное страхование ГПО работодателя за причинение вреда жизни и здаровью работника при исполнений им трудовых (служебных) обязанностей</t>
  </si>
  <si>
    <t>5.3.1.6.</t>
  </si>
  <si>
    <t>обязательное экологическое страхование</t>
  </si>
  <si>
    <t>5.3.2.</t>
  </si>
  <si>
    <t>спец. одежда</t>
  </si>
  <si>
    <t>5.3.3.</t>
  </si>
  <si>
    <t>обучение и проверка знаний по ТБ и ОТ</t>
  </si>
  <si>
    <t>5.3.4.</t>
  </si>
  <si>
    <t>услуги по обслуживанию систем видеонаблюдения</t>
  </si>
  <si>
    <t>Спец. Одежда</t>
  </si>
  <si>
    <t>5.4.</t>
  </si>
  <si>
    <t xml:space="preserve">ремонт а/машин и тех.обслуживание </t>
  </si>
  <si>
    <t>5.5.</t>
  </si>
  <si>
    <t>5.6.</t>
  </si>
  <si>
    <t>топосъемка</t>
  </si>
  <si>
    <t>5.7.</t>
  </si>
  <si>
    <t>поверка средств измерений</t>
  </si>
  <si>
    <t>Проверка средств измерений</t>
  </si>
  <si>
    <t>II</t>
  </si>
  <si>
    <t>Расходы периода, всего</t>
  </si>
  <si>
    <t>охрана пультом</t>
  </si>
  <si>
    <t>6.</t>
  </si>
  <si>
    <t>Общие и административные расходы</t>
  </si>
  <si>
    <t>6.1.</t>
  </si>
  <si>
    <t>Заработная плата административного персонала</t>
  </si>
  <si>
    <t>6.2.</t>
  </si>
  <si>
    <t>ОСТАТОК</t>
  </si>
  <si>
    <t>6.3.</t>
  </si>
  <si>
    <t>6.4.</t>
  </si>
  <si>
    <t>расходы на содержание и обслуживание технических средств управления, узлов связи, вычислитьной техники и т.д.</t>
  </si>
  <si>
    <t>6.2.1.</t>
  </si>
  <si>
    <t>6.4.1.</t>
  </si>
  <si>
    <t>замена барабан</t>
  </si>
  <si>
    <t>6.2.2.</t>
  </si>
  <si>
    <t>6.4.2.</t>
  </si>
  <si>
    <t>заправка картриджа</t>
  </si>
  <si>
    <t>6.4.3.</t>
  </si>
  <si>
    <t>ремонт принтера</t>
  </si>
  <si>
    <t>6.5.</t>
  </si>
  <si>
    <t>Услуги банков</t>
  </si>
  <si>
    <t>на чаглинку</t>
  </si>
  <si>
    <t>6.6.</t>
  </si>
  <si>
    <t>6.6.1.</t>
  </si>
  <si>
    <t>Абонплата</t>
  </si>
  <si>
    <t>6.6.2.</t>
  </si>
  <si>
    <t>Абонплата Мегалайн</t>
  </si>
  <si>
    <t>6.6.3.</t>
  </si>
  <si>
    <t>Междугородние разговоры</t>
  </si>
  <si>
    <t>6.6.4.</t>
  </si>
  <si>
    <t>Международные разговоры</t>
  </si>
  <si>
    <t>6.6.5.</t>
  </si>
  <si>
    <t>платная справка</t>
  </si>
  <si>
    <t>6.6.6.</t>
  </si>
  <si>
    <t>прочие услуги</t>
  </si>
  <si>
    <t>6.6.7.</t>
  </si>
  <si>
    <t>Разговоры по сети сот.операторов</t>
  </si>
  <si>
    <t>6.6.8.</t>
  </si>
  <si>
    <t>сотовая связь</t>
  </si>
  <si>
    <t>6.6.9.</t>
  </si>
  <si>
    <t>услуга АЙД ТВ</t>
  </si>
  <si>
    <t>6.7.</t>
  </si>
  <si>
    <t>Канцтовары</t>
  </si>
  <si>
    <t>6.8.</t>
  </si>
  <si>
    <t>6.8.1.</t>
  </si>
  <si>
    <t>6.8.2.</t>
  </si>
  <si>
    <t>6.8.3.</t>
  </si>
  <si>
    <t>6.9.</t>
  </si>
  <si>
    <t>Электроэнергия покупная</t>
  </si>
  <si>
    <t>Отопление офиса подавалось  от электрокотла</t>
  </si>
  <si>
    <t>6.10.</t>
  </si>
  <si>
    <t>Содержание автотранспорта, в т.ч.</t>
  </si>
  <si>
    <t>6.10.1.</t>
  </si>
  <si>
    <t>6.11.</t>
  </si>
  <si>
    <t>Налоги</t>
  </si>
  <si>
    <t>6.11.1.</t>
  </si>
  <si>
    <t>налоги на имущество</t>
  </si>
  <si>
    <t>6.11.2.</t>
  </si>
  <si>
    <t>земельный налог</t>
  </si>
  <si>
    <t>6.11.3.</t>
  </si>
  <si>
    <t>на транспорт</t>
  </si>
  <si>
    <t>6.11.4.</t>
  </si>
  <si>
    <t>оплата за эмисию в окружающую среду</t>
  </si>
  <si>
    <t>6.12.</t>
  </si>
  <si>
    <t>Прочие расходы</t>
  </si>
  <si>
    <t>6.12.1.</t>
  </si>
  <si>
    <t>хоз. товары</t>
  </si>
  <si>
    <t>6.12.2.</t>
  </si>
  <si>
    <t>услуги дезинфекций, деротизации</t>
  </si>
  <si>
    <t>6.12.3.</t>
  </si>
  <si>
    <t>комунальные услуги</t>
  </si>
  <si>
    <t>6.12.3.1.</t>
  </si>
  <si>
    <t>вывоз ТБО</t>
  </si>
  <si>
    <t>6.12.3.2.</t>
  </si>
  <si>
    <t>питьевая вода</t>
  </si>
  <si>
    <t>6.12.4.</t>
  </si>
  <si>
    <t>почтовые услуги</t>
  </si>
  <si>
    <t>6.12.5.</t>
  </si>
  <si>
    <t>База "Закон"</t>
  </si>
  <si>
    <t>6.12.6.</t>
  </si>
  <si>
    <t>обслуживание 1С бухгалтерия</t>
  </si>
  <si>
    <t>база "закон"</t>
  </si>
  <si>
    <t>6.12.7.</t>
  </si>
  <si>
    <t>страхование ГПО владельцев ТС</t>
  </si>
  <si>
    <t>6.12.8.</t>
  </si>
  <si>
    <t>6.12.10.</t>
  </si>
  <si>
    <t>за оказанные земельно-кадастровые</t>
  </si>
  <si>
    <t>6.12.11.</t>
  </si>
  <si>
    <t>изготовление бланков, печати, штампа</t>
  </si>
  <si>
    <t>6.12.15.</t>
  </si>
  <si>
    <t>составление проектов по обр. землепольз-лей</t>
  </si>
  <si>
    <t>Не предусмотрен в ТС</t>
  </si>
  <si>
    <t>6.12.17.</t>
  </si>
  <si>
    <t>мойка автомашин</t>
  </si>
  <si>
    <t>6.12.18.</t>
  </si>
  <si>
    <t>аттестация электротехнического персонала</t>
  </si>
  <si>
    <t>6.12.21.</t>
  </si>
  <si>
    <t>услуги по оценке имущества</t>
  </si>
  <si>
    <t>6.12.22.</t>
  </si>
  <si>
    <t>инспекционный аудит</t>
  </si>
  <si>
    <t>разработка методики раздельного учета</t>
  </si>
  <si>
    <t>III</t>
  </si>
  <si>
    <t>Всего затрат</t>
  </si>
  <si>
    <t>6.12.24.</t>
  </si>
  <si>
    <t>Инспекционный контроль системы ИСО</t>
  </si>
  <si>
    <t>V</t>
  </si>
  <si>
    <t>Всего доходов</t>
  </si>
  <si>
    <t>VI</t>
  </si>
  <si>
    <t>Объем оказываемых услуг</t>
  </si>
  <si>
    <t>тыс.м3</t>
  </si>
  <si>
    <t>IV</t>
  </si>
  <si>
    <t>Прибыль</t>
  </si>
  <si>
    <t>VII</t>
  </si>
  <si>
    <t>Тариф без НДС</t>
  </si>
  <si>
    <t>тенге/м3</t>
  </si>
  <si>
    <t>Справочно:</t>
  </si>
  <si>
    <t>7.</t>
  </si>
  <si>
    <t>Среднесписочная численность работников, всего</t>
  </si>
  <si>
    <t>человек</t>
  </si>
  <si>
    <t>7.1.</t>
  </si>
  <si>
    <t>производственного персонала</t>
  </si>
  <si>
    <t>7.2.</t>
  </si>
  <si>
    <t>административного персонала</t>
  </si>
  <si>
    <t>8.</t>
  </si>
  <si>
    <t>Среднемесячная заработная платаъ, всего</t>
  </si>
  <si>
    <t>8.1.</t>
  </si>
  <si>
    <t>8.2.</t>
  </si>
  <si>
    <t>И.о. директора</t>
  </si>
  <si>
    <t>Б.Базарбаев</t>
  </si>
  <si>
    <t>Главный бухгалтер</t>
  </si>
  <si>
    <t>Д.Жанмульдина</t>
  </si>
  <si>
    <t>Г.Жуманова</t>
  </si>
  <si>
    <t>Начальник ПЭО</t>
  </si>
  <si>
    <t>Единица измерения</t>
  </si>
  <si>
    <t>Факт за 2016 год.</t>
  </si>
  <si>
    <t>услуги  по ремонту машин</t>
  </si>
  <si>
    <t>тех. обслуживание транспортных средств</t>
  </si>
  <si>
    <t>добавили  623,46</t>
  </si>
  <si>
    <t>добавили зп 7056</t>
  </si>
  <si>
    <t xml:space="preserve">добавили 24 тыс от кгв </t>
  </si>
  <si>
    <t>на чагл 97,69 отнесли</t>
  </si>
  <si>
    <t>карточку подбить</t>
  </si>
  <si>
    <t>Содержание автотранспорта</t>
  </si>
  <si>
    <t>Примечание</t>
  </si>
  <si>
    <t>по данным бухгалтерского учета</t>
  </si>
  <si>
    <t>Причины отклонений</t>
  </si>
  <si>
    <t xml:space="preserve">за счет увеличения цен </t>
  </si>
  <si>
    <t>за счет приобретения техники по инвест.программе</t>
  </si>
  <si>
    <t>в связи с переездом филиала</t>
  </si>
  <si>
    <t>в связи с приобр.техники по инвест.програм.</t>
  </si>
  <si>
    <t>в связи с дополн.установкой освещения</t>
  </si>
  <si>
    <t>за счет выплаты компенсаций</t>
  </si>
  <si>
    <t>приобретение ОС по инвест.программе</t>
  </si>
  <si>
    <t>в связи с установлением лимитов</t>
  </si>
  <si>
    <t>в связи с произв.необход. увелич.поездки на участки</t>
  </si>
  <si>
    <t>затраты по обязат.экол.страхованию переданы КГВ</t>
  </si>
  <si>
    <t>увеличение транспорта приобр.по инвест.программе</t>
  </si>
  <si>
    <t>за счет проведения услуг сторонней орг.</t>
  </si>
  <si>
    <t>за счет оплаты компенсаций за неиспол.тудовыеотпуска</t>
  </si>
  <si>
    <t>в связи с передислокацией филиала в г.Кокшетау</t>
  </si>
  <si>
    <t>за счет уменьшения количества платежей</t>
  </si>
  <si>
    <t>отопление офиса филиала до переезда подавалось от электрокотла</t>
  </si>
  <si>
    <t>увеличение затрат по налогу на транспорт, в связи с приобретением техники по инвест.программе</t>
  </si>
  <si>
    <t>увеличение за счет не предусмотренных в ТС затрат</t>
  </si>
  <si>
    <t xml:space="preserve">Убыток в связи с уменьшением потребления объемов воды на 309,46 тыс.м3 и непредусм-х затрат в ТС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</si>
</sst>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#,##0.0"/>
    <numFmt numFmtId="167" formatCode="0.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66666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165" fontId="2" fillId="2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4" fontId="2" fillId="3" borderId="0" xfId="0" applyNumberFormat="1" applyFont="1" applyFill="1" applyAlignment="1">
      <alignment vertical="center"/>
    </xf>
    <xf numFmtId="10" fontId="2" fillId="2" borderId="0" xfId="0" applyNumberFormat="1" applyFont="1" applyFill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6" fontId="1" fillId="2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" fontId="3" fillId="3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C152"/>
  <sheetViews>
    <sheetView tabSelected="1" topLeftCell="A110" workbookViewId="0">
      <selection activeCell="N143" sqref="N143"/>
    </sheetView>
  </sheetViews>
  <sheetFormatPr defaultRowHeight="15.75" outlineLevelCol="1"/>
  <cols>
    <col min="1" max="1" width="6.85546875" style="1" customWidth="1"/>
    <col min="2" max="2" width="36" style="1" customWidth="1"/>
    <col min="3" max="3" width="12.140625" style="1" customWidth="1"/>
    <col min="4" max="4" width="14.7109375" style="1" hidden="1" customWidth="1" outlineLevel="1"/>
    <col min="5" max="5" width="14.5703125" style="1" customWidth="1" collapsed="1"/>
    <col min="6" max="6" width="13.140625" style="1" hidden="1" customWidth="1" outlineLevel="1"/>
    <col min="7" max="7" width="13.42578125" style="1" hidden="1" customWidth="1" outlineLevel="1"/>
    <col min="8" max="8" width="11.5703125" style="1" hidden="1" customWidth="1" outlineLevel="1"/>
    <col min="9" max="9" width="12.28515625" style="1" hidden="1" customWidth="1" outlineLevel="1"/>
    <col min="10" max="10" width="10.5703125" style="1" hidden="1" customWidth="1" outlineLevel="1"/>
    <col min="11" max="11" width="11.42578125" style="1" hidden="1" customWidth="1" outlineLevel="1"/>
    <col min="12" max="12" width="10" style="1" hidden="1" customWidth="1" outlineLevel="1"/>
    <col min="13" max="13" width="11.85546875" style="1" hidden="1" customWidth="1" outlineLevel="1"/>
    <col min="14" max="14" width="13.28515625" style="1" customWidth="1" collapsed="1"/>
    <col min="15" max="15" width="11.5703125" style="1" customWidth="1"/>
    <col min="16" max="16" width="11.140625" style="1" customWidth="1"/>
    <col min="17" max="17" width="11.28515625" style="1" hidden="1" customWidth="1"/>
    <col min="18" max="18" width="19.85546875" style="1" hidden="1" customWidth="1"/>
    <col min="19" max="19" width="11" style="1" hidden="1" customWidth="1"/>
    <col min="20" max="20" width="12.42578125" style="1" hidden="1" customWidth="1"/>
    <col min="21" max="21" width="11.85546875" style="1" hidden="1" customWidth="1"/>
    <col min="22" max="22" width="0" style="1" hidden="1" customWidth="1"/>
    <col min="23" max="23" width="13.42578125" style="1" hidden="1" customWidth="1"/>
    <col min="24" max="24" width="15.85546875" style="1" hidden="1" customWidth="1"/>
    <col min="25" max="25" width="0" style="1" hidden="1" customWidth="1"/>
    <col min="26" max="26" width="37.85546875" style="1" hidden="1" customWidth="1"/>
    <col min="27" max="27" width="0" style="1" hidden="1" customWidth="1"/>
    <col min="28" max="28" width="14.42578125" style="1" hidden="1" customWidth="1"/>
    <col min="29" max="29" width="16.140625" style="1" hidden="1" customWidth="1"/>
    <col min="30" max="31" width="10.5703125" style="1" hidden="1" customWidth="1"/>
    <col min="32" max="37" width="0" style="1" hidden="1" customWidth="1"/>
    <col min="38" max="38" width="11.42578125" style="1" hidden="1" customWidth="1"/>
    <col min="39" max="39" width="10.85546875" style="1" hidden="1" customWidth="1"/>
    <col min="40" max="40" width="0" style="1" hidden="1" customWidth="1"/>
    <col min="41" max="42" width="10.140625" style="1" hidden="1" customWidth="1"/>
    <col min="43" max="51" width="0" style="1" hidden="1" customWidth="1"/>
    <col min="52" max="52" width="10.140625" style="1" hidden="1" customWidth="1"/>
    <col min="53" max="53" width="9.85546875" style="1" hidden="1" customWidth="1"/>
    <col min="54" max="54" width="22.85546875" style="1" hidden="1" customWidth="1"/>
    <col min="55" max="55" width="24.5703125" style="1" hidden="1" customWidth="1"/>
    <col min="56" max="56" width="41.7109375" style="1" customWidth="1"/>
    <col min="57" max="57" width="5" style="1" customWidth="1"/>
    <col min="58" max="58" width="9.85546875" style="1" bestFit="1" customWidth="1"/>
    <col min="59" max="59" width="9.140625" style="1"/>
    <col min="60" max="60" width="9.7109375" style="1" bestFit="1" customWidth="1"/>
    <col min="61" max="257" width="9.140625" style="1"/>
    <col min="258" max="258" width="8.42578125" style="1" customWidth="1"/>
    <col min="259" max="259" width="36" style="1" customWidth="1"/>
    <col min="260" max="260" width="12.140625" style="1" customWidth="1"/>
    <col min="261" max="261" width="14.7109375" style="1" customWidth="1"/>
    <col min="262" max="262" width="16.5703125" style="1" customWidth="1"/>
    <col min="263" max="270" width="0" style="1" hidden="1" customWidth="1"/>
    <col min="271" max="271" width="13.28515625" style="1" customWidth="1"/>
    <col min="272" max="272" width="13.85546875" style="1" customWidth="1"/>
    <col min="273" max="273" width="13.7109375" style="1" customWidth="1"/>
    <col min="274" max="274" width="9.5703125" style="1" bestFit="1" customWidth="1"/>
    <col min="275" max="275" width="11.5703125" style="1" customWidth="1"/>
    <col min="276" max="276" width="10" style="1" bestFit="1" customWidth="1"/>
    <col min="277" max="277" width="12.42578125" style="1" customWidth="1"/>
    <col min="278" max="278" width="11.5703125" style="1" bestFit="1" customWidth="1"/>
    <col min="279" max="513" width="9.140625" style="1"/>
    <col min="514" max="514" width="8.42578125" style="1" customWidth="1"/>
    <col min="515" max="515" width="36" style="1" customWidth="1"/>
    <col min="516" max="516" width="12.140625" style="1" customWidth="1"/>
    <col min="517" max="517" width="14.7109375" style="1" customWidth="1"/>
    <col min="518" max="518" width="16.5703125" style="1" customWidth="1"/>
    <col min="519" max="526" width="0" style="1" hidden="1" customWidth="1"/>
    <col min="527" max="527" width="13.28515625" style="1" customWidth="1"/>
    <col min="528" max="528" width="13.85546875" style="1" customWidth="1"/>
    <col min="529" max="529" width="13.7109375" style="1" customWidth="1"/>
    <col min="530" max="530" width="9.5703125" style="1" bestFit="1" customWidth="1"/>
    <col min="531" max="531" width="11.5703125" style="1" customWidth="1"/>
    <col min="532" max="532" width="10" style="1" bestFit="1" customWidth="1"/>
    <col min="533" max="533" width="12.42578125" style="1" customWidth="1"/>
    <col min="534" max="534" width="11.5703125" style="1" bestFit="1" customWidth="1"/>
    <col min="535" max="769" width="9.140625" style="1"/>
    <col min="770" max="770" width="8.42578125" style="1" customWidth="1"/>
    <col min="771" max="771" width="36" style="1" customWidth="1"/>
    <col min="772" max="772" width="12.140625" style="1" customWidth="1"/>
    <col min="773" max="773" width="14.7109375" style="1" customWidth="1"/>
    <col min="774" max="774" width="16.5703125" style="1" customWidth="1"/>
    <col min="775" max="782" width="0" style="1" hidden="1" customWidth="1"/>
    <col min="783" max="783" width="13.28515625" style="1" customWidth="1"/>
    <col min="784" max="784" width="13.85546875" style="1" customWidth="1"/>
    <col min="785" max="785" width="13.7109375" style="1" customWidth="1"/>
    <col min="786" max="786" width="9.5703125" style="1" bestFit="1" customWidth="1"/>
    <col min="787" max="787" width="11.5703125" style="1" customWidth="1"/>
    <col min="788" max="788" width="10" style="1" bestFit="1" customWidth="1"/>
    <col min="789" max="789" width="12.42578125" style="1" customWidth="1"/>
    <col min="790" max="790" width="11.5703125" style="1" bestFit="1" customWidth="1"/>
    <col min="791" max="1025" width="9.140625" style="1"/>
    <col min="1026" max="1026" width="8.42578125" style="1" customWidth="1"/>
    <col min="1027" max="1027" width="36" style="1" customWidth="1"/>
    <col min="1028" max="1028" width="12.140625" style="1" customWidth="1"/>
    <col min="1029" max="1029" width="14.7109375" style="1" customWidth="1"/>
    <col min="1030" max="1030" width="16.5703125" style="1" customWidth="1"/>
    <col min="1031" max="1038" width="0" style="1" hidden="1" customWidth="1"/>
    <col min="1039" max="1039" width="13.28515625" style="1" customWidth="1"/>
    <col min="1040" max="1040" width="13.85546875" style="1" customWidth="1"/>
    <col min="1041" max="1041" width="13.7109375" style="1" customWidth="1"/>
    <col min="1042" max="1042" width="9.5703125" style="1" bestFit="1" customWidth="1"/>
    <col min="1043" max="1043" width="11.5703125" style="1" customWidth="1"/>
    <col min="1044" max="1044" width="10" style="1" bestFit="1" customWidth="1"/>
    <col min="1045" max="1045" width="12.42578125" style="1" customWidth="1"/>
    <col min="1046" max="1046" width="11.5703125" style="1" bestFit="1" customWidth="1"/>
    <col min="1047" max="1281" width="9.140625" style="1"/>
    <col min="1282" max="1282" width="8.42578125" style="1" customWidth="1"/>
    <col min="1283" max="1283" width="36" style="1" customWidth="1"/>
    <col min="1284" max="1284" width="12.140625" style="1" customWidth="1"/>
    <col min="1285" max="1285" width="14.7109375" style="1" customWidth="1"/>
    <col min="1286" max="1286" width="16.5703125" style="1" customWidth="1"/>
    <col min="1287" max="1294" width="0" style="1" hidden="1" customWidth="1"/>
    <col min="1295" max="1295" width="13.28515625" style="1" customWidth="1"/>
    <col min="1296" max="1296" width="13.85546875" style="1" customWidth="1"/>
    <col min="1297" max="1297" width="13.7109375" style="1" customWidth="1"/>
    <col min="1298" max="1298" width="9.5703125" style="1" bestFit="1" customWidth="1"/>
    <col min="1299" max="1299" width="11.5703125" style="1" customWidth="1"/>
    <col min="1300" max="1300" width="10" style="1" bestFit="1" customWidth="1"/>
    <col min="1301" max="1301" width="12.42578125" style="1" customWidth="1"/>
    <col min="1302" max="1302" width="11.5703125" style="1" bestFit="1" customWidth="1"/>
    <col min="1303" max="1537" width="9.140625" style="1"/>
    <col min="1538" max="1538" width="8.42578125" style="1" customWidth="1"/>
    <col min="1539" max="1539" width="36" style="1" customWidth="1"/>
    <col min="1540" max="1540" width="12.140625" style="1" customWidth="1"/>
    <col min="1541" max="1541" width="14.7109375" style="1" customWidth="1"/>
    <col min="1542" max="1542" width="16.5703125" style="1" customWidth="1"/>
    <col min="1543" max="1550" width="0" style="1" hidden="1" customWidth="1"/>
    <col min="1551" max="1551" width="13.28515625" style="1" customWidth="1"/>
    <col min="1552" max="1552" width="13.85546875" style="1" customWidth="1"/>
    <col min="1553" max="1553" width="13.7109375" style="1" customWidth="1"/>
    <col min="1554" max="1554" width="9.5703125" style="1" bestFit="1" customWidth="1"/>
    <col min="1555" max="1555" width="11.5703125" style="1" customWidth="1"/>
    <col min="1556" max="1556" width="10" style="1" bestFit="1" customWidth="1"/>
    <col min="1557" max="1557" width="12.42578125" style="1" customWidth="1"/>
    <col min="1558" max="1558" width="11.5703125" style="1" bestFit="1" customWidth="1"/>
    <col min="1559" max="1793" width="9.140625" style="1"/>
    <col min="1794" max="1794" width="8.42578125" style="1" customWidth="1"/>
    <col min="1795" max="1795" width="36" style="1" customWidth="1"/>
    <col min="1796" max="1796" width="12.140625" style="1" customWidth="1"/>
    <col min="1797" max="1797" width="14.7109375" style="1" customWidth="1"/>
    <col min="1798" max="1798" width="16.5703125" style="1" customWidth="1"/>
    <col min="1799" max="1806" width="0" style="1" hidden="1" customWidth="1"/>
    <col min="1807" max="1807" width="13.28515625" style="1" customWidth="1"/>
    <col min="1808" max="1808" width="13.85546875" style="1" customWidth="1"/>
    <col min="1809" max="1809" width="13.7109375" style="1" customWidth="1"/>
    <col min="1810" max="1810" width="9.5703125" style="1" bestFit="1" customWidth="1"/>
    <col min="1811" max="1811" width="11.5703125" style="1" customWidth="1"/>
    <col min="1812" max="1812" width="10" style="1" bestFit="1" customWidth="1"/>
    <col min="1813" max="1813" width="12.42578125" style="1" customWidth="1"/>
    <col min="1814" max="1814" width="11.5703125" style="1" bestFit="1" customWidth="1"/>
    <col min="1815" max="2049" width="9.140625" style="1"/>
    <col min="2050" max="2050" width="8.42578125" style="1" customWidth="1"/>
    <col min="2051" max="2051" width="36" style="1" customWidth="1"/>
    <col min="2052" max="2052" width="12.140625" style="1" customWidth="1"/>
    <col min="2053" max="2053" width="14.7109375" style="1" customWidth="1"/>
    <col min="2054" max="2054" width="16.5703125" style="1" customWidth="1"/>
    <col min="2055" max="2062" width="0" style="1" hidden="1" customWidth="1"/>
    <col min="2063" max="2063" width="13.28515625" style="1" customWidth="1"/>
    <col min="2064" max="2064" width="13.85546875" style="1" customWidth="1"/>
    <col min="2065" max="2065" width="13.7109375" style="1" customWidth="1"/>
    <col min="2066" max="2066" width="9.5703125" style="1" bestFit="1" customWidth="1"/>
    <col min="2067" max="2067" width="11.5703125" style="1" customWidth="1"/>
    <col min="2068" max="2068" width="10" style="1" bestFit="1" customWidth="1"/>
    <col min="2069" max="2069" width="12.42578125" style="1" customWidth="1"/>
    <col min="2070" max="2070" width="11.5703125" style="1" bestFit="1" customWidth="1"/>
    <col min="2071" max="2305" width="9.140625" style="1"/>
    <col min="2306" max="2306" width="8.42578125" style="1" customWidth="1"/>
    <col min="2307" max="2307" width="36" style="1" customWidth="1"/>
    <col min="2308" max="2308" width="12.140625" style="1" customWidth="1"/>
    <col min="2309" max="2309" width="14.7109375" style="1" customWidth="1"/>
    <col min="2310" max="2310" width="16.5703125" style="1" customWidth="1"/>
    <col min="2311" max="2318" width="0" style="1" hidden="1" customWidth="1"/>
    <col min="2319" max="2319" width="13.28515625" style="1" customWidth="1"/>
    <col min="2320" max="2320" width="13.85546875" style="1" customWidth="1"/>
    <col min="2321" max="2321" width="13.7109375" style="1" customWidth="1"/>
    <col min="2322" max="2322" width="9.5703125" style="1" bestFit="1" customWidth="1"/>
    <col min="2323" max="2323" width="11.5703125" style="1" customWidth="1"/>
    <col min="2324" max="2324" width="10" style="1" bestFit="1" customWidth="1"/>
    <col min="2325" max="2325" width="12.42578125" style="1" customWidth="1"/>
    <col min="2326" max="2326" width="11.5703125" style="1" bestFit="1" customWidth="1"/>
    <col min="2327" max="2561" width="9.140625" style="1"/>
    <col min="2562" max="2562" width="8.42578125" style="1" customWidth="1"/>
    <col min="2563" max="2563" width="36" style="1" customWidth="1"/>
    <col min="2564" max="2564" width="12.140625" style="1" customWidth="1"/>
    <col min="2565" max="2565" width="14.7109375" style="1" customWidth="1"/>
    <col min="2566" max="2566" width="16.5703125" style="1" customWidth="1"/>
    <col min="2567" max="2574" width="0" style="1" hidden="1" customWidth="1"/>
    <col min="2575" max="2575" width="13.28515625" style="1" customWidth="1"/>
    <col min="2576" max="2576" width="13.85546875" style="1" customWidth="1"/>
    <col min="2577" max="2577" width="13.7109375" style="1" customWidth="1"/>
    <col min="2578" max="2578" width="9.5703125" style="1" bestFit="1" customWidth="1"/>
    <col min="2579" max="2579" width="11.5703125" style="1" customWidth="1"/>
    <col min="2580" max="2580" width="10" style="1" bestFit="1" customWidth="1"/>
    <col min="2581" max="2581" width="12.42578125" style="1" customWidth="1"/>
    <col min="2582" max="2582" width="11.5703125" style="1" bestFit="1" customWidth="1"/>
    <col min="2583" max="2817" width="9.140625" style="1"/>
    <col min="2818" max="2818" width="8.42578125" style="1" customWidth="1"/>
    <col min="2819" max="2819" width="36" style="1" customWidth="1"/>
    <col min="2820" max="2820" width="12.140625" style="1" customWidth="1"/>
    <col min="2821" max="2821" width="14.7109375" style="1" customWidth="1"/>
    <col min="2822" max="2822" width="16.5703125" style="1" customWidth="1"/>
    <col min="2823" max="2830" width="0" style="1" hidden="1" customWidth="1"/>
    <col min="2831" max="2831" width="13.28515625" style="1" customWidth="1"/>
    <col min="2832" max="2832" width="13.85546875" style="1" customWidth="1"/>
    <col min="2833" max="2833" width="13.7109375" style="1" customWidth="1"/>
    <col min="2834" max="2834" width="9.5703125" style="1" bestFit="1" customWidth="1"/>
    <col min="2835" max="2835" width="11.5703125" style="1" customWidth="1"/>
    <col min="2836" max="2836" width="10" style="1" bestFit="1" customWidth="1"/>
    <col min="2837" max="2837" width="12.42578125" style="1" customWidth="1"/>
    <col min="2838" max="2838" width="11.5703125" style="1" bestFit="1" customWidth="1"/>
    <col min="2839" max="3073" width="9.140625" style="1"/>
    <col min="3074" max="3074" width="8.42578125" style="1" customWidth="1"/>
    <col min="3075" max="3075" width="36" style="1" customWidth="1"/>
    <col min="3076" max="3076" width="12.140625" style="1" customWidth="1"/>
    <col min="3077" max="3077" width="14.7109375" style="1" customWidth="1"/>
    <col min="3078" max="3078" width="16.5703125" style="1" customWidth="1"/>
    <col min="3079" max="3086" width="0" style="1" hidden="1" customWidth="1"/>
    <col min="3087" max="3087" width="13.28515625" style="1" customWidth="1"/>
    <col min="3088" max="3088" width="13.85546875" style="1" customWidth="1"/>
    <col min="3089" max="3089" width="13.7109375" style="1" customWidth="1"/>
    <col min="3090" max="3090" width="9.5703125" style="1" bestFit="1" customWidth="1"/>
    <col min="3091" max="3091" width="11.5703125" style="1" customWidth="1"/>
    <col min="3092" max="3092" width="10" style="1" bestFit="1" customWidth="1"/>
    <col min="3093" max="3093" width="12.42578125" style="1" customWidth="1"/>
    <col min="3094" max="3094" width="11.5703125" style="1" bestFit="1" customWidth="1"/>
    <col min="3095" max="3329" width="9.140625" style="1"/>
    <col min="3330" max="3330" width="8.42578125" style="1" customWidth="1"/>
    <col min="3331" max="3331" width="36" style="1" customWidth="1"/>
    <col min="3332" max="3332" width="12.140625" style="1" customWidth="1"/>
    <col min="3333" max="3333" width="14.7109375" style="1" customWidth="1"/>
    <col min="3334" max="3334" width="16.5703125" style="1" customWidth="1"/>
    <col min="3335" max="3342" width="0" style="1" hidden="1" customWidth="1"/>
    <col min="3343" max="3343" width="13.28515625" style="1" customWidth="1"/>
    <col min="3344" max="3344" width="13.85546875" style="1" customWidth="1"/>
    <col min="3345" max="3345" width="13.7109375" style="1" customWidth="1"/>
    <col min="3346" max="3346" width="9.5703125" style="1" bestFit="1" customWidth="1"/>
    <col min="3347" max="3347" width="11.5703125" style="1" customWidth="1"/>
    <col min="3348" max="3348" width="10" style="1" bestFit="1" customWidth="1"/>
    <col min="3349" max="3349" width="12.42578125" style="1" customWidth="1"/>
    <col min="3350" max="3350" width="11.5703125" style="1" bestFit="1" customWidth="1"/>
    <col min="3351" max="3585" width="9.140625" style="1"/>
    <col min="3586" max="3586" width="8.42578125" style="1" customWidth="1"/>
    <col min="3587" max="3587" width="36" style="1" customWidth="1"/>
    <col min="3588" max="3588" width="12.140625" style="1" customWidth="1"/>
    <col min="3589" max="3589" width="14.7109375" style="1" customWidth="1"/>
    <col min="3590" max="3590" width="16.5703125" style="1" customWidth="1"/>
    <col min="3591" max="3598" width="0" style="1" hidden="1" customWidth="1"/>
    <col min="3599" max="3599" width="13.28515625" style="1" customWidth="1"/>
    <col min="3600" max="3600" width="13.85546875" style="1" customWidth="1"/>
    <col min="3601" max="3601" width="13.7109375" style="1" customWidth="1"/>
    <col min="3602" max="3602" width="9.5703125" style="1" bestFit="1" customWidth="1"/>
    <col min="3603" max="3603" width="11.5703125" style="1" customWidth="1"/>
    <col min="3604" max="3604" width="10" style="1" bestFit="1" customWidth="1"/>
    <col min="3605" max="3605" width="12.42578125" style="1" customWidth="1"/>
    <col min="3606" max="3606" width="11.5703125" style="1" bestFit="1" customWidth="1"/>
    <col min="3607" max="3841" width="9.140625" style="1"/>
    <col min="3842" max="3842" width="8.42578125" style="1" customWidth="1"/>
    <col min="3843" max="3843" width="36" style="1" customWidth="1"/>
    <col min="3844" max="3844" width="12.140625" style="1" customWidth="1"/>
    <col min="3845" max="3845" width="14.7109375" style="1" customWidth="1"/>
    <col min="3846" max="3846" width="16.5703125" style="1" customWidth="1"/>
    <col min="3847" max="3854" width="0" style="1" hidden="1" customWidth="1"/>
    <col min="3855" max="3855" width="13.28515625" style="1" customWidth="1"/>
    <col min="3856" max="3856" width="13.85546875" style="1" customWidth="1"/>
    <col min="3857" max="3857" width="13.7109375" style="1" customWidth="1"/>
    <col min="3858" max="3858" width="9.5703125" style="1" bestFit="1" customWidth="1"/>
    <col min="3859" max="3859" width="11.5703125" style="1" customWidth="1"/>
    <col min="3860" max="3860" width="10" style="1" bestFit="1" customWidth="1"/>
    <col min="3861" max="3861" width="12.42578125" style="1" customWidth="1"/>
    <col min="3862" max="3862" width="11.5703125" style="1" bestFit="1" customWidth="1"/>
    <col min="3863" max="4097" width="9.140625" style="1"/>
    <col min="4098" max="4098" width="8.42578125" style="1" customWidth="1"/>
    <col min="4099" max="4099" width="36" style="1" customWidth="1"/>
    <col min="4100" max="4100" width="12.140625" style="1" customWidth="1"/>
    <col min="4101" max="4101" width="14.7109375" style="1" customWidth="1"/>
    <col min="4102" max="4102" width="16.5703125" style="1" customWidth="1"/>
    <col min="4103" max="4110" width="0" style="1" hidden="1" customWidth="1"/>
    <col min="4111" max="4111" width="13.28515625" style="1" customWidth="1"/>
    <col min="4112" max="4112" width="13.85546875" style="1" customWidth="1"/>
    <col min="4113" max="4113" width="13.7109375" style="1" customWidth="1"/>
    <col min="4114" max="4114" width="9.5703125" style="1" bestFit="1" customWidth="1"/>
    <col min="4115" max="4115" width="11.5703125" style="1" customWidth="1"/>
    <col min="4116" max="4116" width="10" style="1" bestFit="1" customWidth="1"/>
    <col min="4117" max="4117" width="12.42578125" style="1" customWidth="1"/>
    <col min="4118" max="4118" width="11.5703125" style="1" bestFit="1" customWidth="1"/>
    <col min="4119" max="4353" width="9.140625" style="1"/>
    <col min="4354" max="4354" width="8.42578125" style="1" customWidth="1"/>
    <col min="4355" max="4355" width="36" style="1" customWidth="1"/>
    <col min="4356" max="4356" width="12.140625" style="1" customWidth="1"/>
    <col min="4357" max="4357" width="14.7109375" style="1" customWidth="1"/>
    <col min="4358" max="4358" width="16.5703125" style="1" customWidth="1"/>
    <col min="4359" max="4366" width="0" style="1" hidden="1" customWidth="1"/>
    <col min="4367" max="4367" width="13.28515625" style="1" customWidth="1"/>
    <col min="4368" max="4368" width="13.85546875" style="1" customWidth="1"/>
    <col min="4369" max="4369" width="13.7109375" style="1" customWidth="1"/>
    <col min="4370" max="4370" width="9.5703125" style="1" bestFit="1" customWidth="1"/>
    <col min="4371" max="4371" width="11.5703125" style="1" customWidth="1"/>
    <col min="4372" max="4372" width="10" style="1" bestFit="1" customWidth="1"/>
    <col min="4373" max="4373" width="12.42578125" style="1" customWidth="1"/>
    <col min="4374" max="4374" width="11.5703125" style="1" bestFit="1" customWidth="1"/>
    <col min="4375" max="4609" width="9.140625" style="1"/>
    <col min="4610" max="4610" width="8.42578125" style="1" customWidth="1"/>
    <col min="4611" max="4611" width="36" style="1" customWidth="1"/>
    <col min="4612" max="4612" width="12.140625" style="1" customWidth="1"/>
    <col min="4613" max="4613" width="14.7109375" style="1" customWidth="1"/>
    <col min="4614" max="4614" width="16.5703125" style="1" customWidth="1"/>
    <col min="4615" max="4622" width="0" style="1" hidden="1" customWidth="1"/>
    <col min="4623" max="4623" width="13.28515625" style="1" customWidth="1"/>
    <col min="4624" max="4624" width="13.85546875" style="1" customWidth="1"/>
    <col min="4625" max="4625" width="13.7109375" style="1" customWidth="1"/>
    <col min="4626" max="4626" width="9.5703125" style="1" bestFit="1" customWidth="1"/>
    <col min="4627" max="4627" width="11.5703125" style="1" customWidth="1"/>
    <col min="4628" max="4628" width="10" style="1" bestFit="1" customWidth="1"/>
    <col min="4629" max="4629" width="12.42578125" style="1" customWidth="1"/>
    <col min="4630" max="4630" width="11.5703125" style="1" bestFit="1" customWidth="1"/>
    <col min="4631" max="4865" width="9.140625" style="1"/>
    <col min="4866" max="4866" width="8.42578125" style="1" customWidth="1"/>
    <col min="4867" max="4867" width="36" style="1" customWidth="1"/>
    <col min="4868" max="4868" width="12.140625" style="1" customWidth="1"/>
    <col min="4869" max="4869" width="14.7109375" style="1" customWidth="1"/>
    <col min="4870" max="4870" width="16.5703125" style="1" customWidth="1"/>
    <col min="4871" max="4878" width="0" style="1" hidden="1" customWidth="1"/>
    <col min="4879" max="4879" width="13.28515625" style="1" customWidth="1"/>
    <col min="4880" max="4880" width="13.85546875" style="1" customWidth="1"/>
    <col min="4881" max="4881" width="13.7109375" style="1" customWidth="1"/>
    <col min="4882" max="4882" width="9.5703125" style="1" bestFit="1" customWidth="1"/>
    <col min="4883" max="4883" width="11.5703125" style="1" customWidth="1"/>
    <col min="4884" max="4884" width="10" style="1" bestFit="1" customWidth="1"/>
    <col min="4885" max="4885" width="12.42578125" style="1" customWidth="1"/>
    <col min="4886" max="4886" width="11.5703125" style="1" bestFit="1" customWidth="1"/>
    <col min="4887" max="5121" width="9.140625" style="1"/>
    <col min="5122" max="5122" width="8.42578125" style="1" customWidth="1"/>
    <col min="5123" max="5123" width="36" style="1" customWidth="1"/>
    <col min="5124" max="5124" width="12.140625" style="1" customWidth="1"/>
    <col min="5125" max="5125" width="14.7109375" style="1" customWidth="1"/>
    <col min="5126" max="5126" width="16.5703125" style="1" customWidth="1"/>
    <col min="5127" max="5134" width="0" style="1" hidden="1" customWidth="1"/>
    <col min="5135" max="5135" width="13.28515625" style="1" customWidth="1"/>
    <col min="5136" max="5136" width="13.85546875" style="1" customWidth="1"/>
    <col min="5137" max="5137" width="13.7109375" style="1" customWidth="1"/>
    <col min="5138" max="5138" width="9.5703125" style="1" bestFit="1" customWidth="1"/>
    <col min="5139" max="5139" width="11.5703125" style="1" customWidth="1"/>
    <col min="5140" max="5140" width="10" style="1" bestFit="1" customWidth="1"/>
    <col min="5141" max="5141" width="12.42578125" style="1" customWidth="1"/>
    <col min="5142" max="5142" width="11.5703125" style="1" bestFit="1" customWidth="1"/>
    <col min="5143" max="5377" width="9.140625" style="1"/>
    <col min="5378" max="5378" width="8.42578125" style="1" customWidth="1"/>
    <col min="5379" max="5379" width="36" style="1" customWidth="1"/>
    <col min="5380" max="5380" width="12.140625" style="1" customWidth="1"/>
    <col min="5381" max="5381" width="14.7109375" style="1" customWidth="1"/>
    <col min="5382" max="5382" width="16.5703125" style="1" customWidth="1"/>
    <col min="5383" max="5390" width="0" style="1" hidden="1" customWidth="1"/>
    <col min="5391" max="5391" width="13.28515625" style="1" customWidth="1"/>
    <col min="5392" max="5392" width="13.85546875" style="1" customWidth="1"/>
    <col min="5393" max="5393" width="13.7109375" style="1" customWidth="1"/>
    <col min="5394" max="5394" width="9.5703125" style="1" bestFit="1" customWidth="1"/>
    <col min="5395" max="5395" width="11.5703125" style="1" customWidth="1"/>
    <col min="5396" max="5396" width="10" style="1" bestFit="1" customWidth="1"/>
    <col min="5397" max="5397" width="12.42578125" style="1" customWidth="1"/>
    <col min="5398" max="5398" width="11.5703125" style="1" bestFit="1" customWidth="1"/>
    <col min="5399" max="5633" width="9.140625" style="1"/>
    <col min="5634" max="5634" width="8.42578125" style="1" customWidth="1"/>
    <col min="5635" max="5635" width="36" style="1" customWidth="1"/>
    <col min="5636" max="5636" width="12.140625" style="1" customWidth="1"/>
    <col min="5637" max="5637" width="14.7109375" style="1" customWidth="1"/>
    <col min="5638" max="5638" width="16.5703125" style="1" customWidth="1"/>
    <col min="5639" max="5646" width="0" style="1" hidden="1" customWidth="1"/>
    <col min="5647" max="5647" width="13.28515625" style="1" customWidth="1"/>
    <col min="5648" max="5648" width="13.85546875" style="1" customWidth="1"/>
    <col min="5649" max="5649" width="13.7109375" style="1" customWidth="1"/>
    <col min="5650" max="5650" width="9.5703125" style="1" bestFit="1" customWidth="1"/>
    <col min="5651" max="5651" width="11.5703125" style="1" customWidth="1"/>
    <col min="5652" max="5652" width="10" style="1" bestFit="1" customWidth="1"/>
    <col min="5653" max="5653" width="12.42578125" style="1" customWidth="1"/>
    <col min="5654" max="5654" width="11.5703125" style="1" bestFit="1" customWidth="1"/>
    <col min="5655" max="5889" width="9.140625" style="1"/>
    <col min="5890" max="5890" width="8.42578125" style="1" customWidth="1"/>
    <col min="5891" max="5891" width="36" style="1" customWidth="1"/>
    <col min="5892" max="5892" width="12.140625" style="1" customWidth="1"/>
    <col min="5893" max="5893" width="14.7109375" style="1" customWidth="1"/>
    <col min="5894" max="5894" width="16.5703125" style="1" customWidth="1"/>
    <col min="5895" max="5902" width="0" style="1" hidden="1" customWidth="1"/>
    <col min="5903" max="5903" width="13.28515625" style="1" customWidth="1"/>
    <col min="5904" max="5904" width="13.85546875" style="1" customWidth="1"/>
    <col min="5905" max="5905" width="13.7109375" style="1" customWidth="1"/>
    <col min="5906" max="5906" width="9.5703125" style="1" bestFit="1" customWidth="1"/>
    <col min="5907" max="5907" width="11.5703125" style="1" customWidth="1"/>
    <col min="5908" max="5908" width="10" style="1" bestFit="1" customWidth="1"/>
    <col min="5909" max="5909" width="12.42578125" style="1" customWidth="1"/>
    <col min="5910" max="5910" width="11.5703125" style="1" bestFit="1" customWidth="1"/>
    <col min="5911" max="6145" width="9.140625" style="1"/>
    <col min="6146" max="6146" width="8.42578125" style="1" customWidth="1"/>
    <col min="6147" max="6147" width="36" style="1" customWidth="1"/>
    <col min="6148" max="6148" width="12.140625" style="1" customWidth="1"/>
    <col min="6149" max="6149" width="14.7109375" style="1" customWidth="1"/>
    <col min="6150" max="6150" width="16.5703125" style="1" customWidth="1"/>
    <col min="6151" max="6158" width="0" style="1" hidden="1" customWidth="1"/>
    <col min="6159" max="6159" width="13.28515625" style="1" customWidth="1"/>
    <col min="6160" max="6160" width="13.85546875" style="1" customWidth="1"/>
    <col min="6161" max="6161" width="13.7109375" style="1" customWidth="1"/>
    <col min="6162" max="6162" width="9.5703125" style="1" bestFit="1" customWidth="1"/>
    <col min="6163" max="6163" width="11.5703125" style="1" customWidth="1"/>
    <col min="6164" max="6164" width="10" style="1" bestFit="1" customWidth="1"/>
    <col min="6165" max="6165" width="12.42578125" style="1" customWidth="1"/>
    <col min="6166" max="6166" width="11.5703125" style="1" bestFit="1" customWidth="1"/>
    <col min="6167" max="6401" width="9.140625" style="1"/>
    <col min="6402" max="6402" width="8.42578125" style="1" customWidth="1"/>
    <col min="6403" max="6403" width="36" style="1" customWidth="1"/>
    <col min="6404" max="6404" width="12.140625" style="1" customWidth="1"/>
    <col min="6405" max="6405" width="14.7109375" style="1" customWidth="1"/>
    <col min="6406" max="6406" width="16.5703125" style="1" customWidth="1"/>
    <col min="6407" max="6414" width="0" style="1" hidden="1" customWidth="1"/>
    <col min="6415" max="6415" width="13.28515625" style="1" customWidth="1"/>
    <col min="6416" max="6416" width="13.85546875" style="1" customWidth="1"/>
    <col min="6417" max="6417" width="13.7109375" style="1" customWidth="1"/>
    <col min="6418" max="6418" width="9.5703125" style="1" bestFit="1" customWidth="1"/>
    <col min="6419" max="6419" width="11.5703125" style="1" customWidth="1"/>
    <col min="6420" max="6420" width="10" style="1" bestFit="1" customWidth="1"/>
    <col min="6421" max="6421" width="12.42578125" style="1" customWidth="1"/>
    <col min="6422" max="6422" width="11.5703125" style="1" bestFit="1" customWidth="1"/>
    <col min="6423" max="6657" width="9.140625" style="1"/>
    <col min="6658" max="6658" width="8.42578125" style="1" customWidth="1"/>
    <col min="6659" max="6659" width="36" style="1" customWidth="1"/>
    <col min="6660" max="6660" width="12.140625" style="1" customWidth="1"/>
    <col min="6661" max="6661" width="14.7109375" style="1" customWidth="1"/>
    <col min="6662" max="6662" width="16.5703125" style="1" customWidth="1"/>
    <col min="6663" max="6670" width="0" style="1" hidden="1" customWidth="1"/>
    <col min="6671" max="6671" width="13.28515625" style="1" customWidth="1"/>
    <col min="6672" max="6672" width="13.85546875" style="1" customWidth="1"/>
    <col min="6673" max="6673" width="13.7109375" style="1" customWidth="1"/>
    <col min="6674" max="6674" width="9.5703125" style="1" bestFit="1" customWidth="1"/>
    <col min="6675" max="6675" width="11.5703125" style="1" customWidth="1"/>
    <col min="6676" max="6676" width="10" style="1" bestFit="1" customWidth="1"/>
    <col min="6677" max="6677" width="12.42578125" style="1" customWidth="1"/>
    <col min="6678" max="6678" width="11.5703125" style="1" bestFit="1" customWidth="1"/>
    <col min="6679" max="6913" width="9.140625" style="1"/>
    <col min="6914" max="6914" width="8.42578125" style="1" customWidth="1"/>
    <col min="6915" max="6915" width="36" style="1" customWidth="1"/>
    <col min="6916" max="6916" width="12.140625" style="1" customWidth="1"/>
    <col min="6917" max="6917" width="14.7109375" style="1" customWidth="1"/>
    <col min="6918" max="6918" width="16.5703125" style="1" customWidth="1"/>
    <col min="6919" max="6926" width="0" style="1" hidden="1" customWidth="1"/>
    <col min="6927" max="6927" width="13.28515625" style="1" customWidth="1"/>
    <col min="6928" max="6928" width="13.85546875" style="1" customWidth="1"/>
    <col min="6929" max="6929" width="13.7109375" style="1" customWidth="1"/>
    <col min="6930" max="6930" width="9.5703125" style="1" bestFit="1" customWidth="1"/>
    <col min="6931" max="6931" width="11.5703125" style="1" customWidth="1"/>
    <col min="6932" max="6932" width="10" style="1" bestFit="1" customWidth="1"/>
    <col min="6933" max="6933" width="12.42578125" style="1" customWidth="1"/>
    <col min="6934" max="6934" width="11.5703125" style="1" bestFit="1" customWidth="1"/>
    <col min="6935" max="7169" width="9.140625" style="1"/>
    <col min="7170" max="7170" width="8.42578125" style="1" customWidth="1"/>
    <col min="7171" max="7171" width="36" style="1" customWidth="1"/>
    <col min="7172" max="7172" width="12.140625" style="1" customWidth="1"/>
    <col min="7173" max="7173" width="14.7109375" style="1" customWidth="1"/>
    <col min="7174" max="7174" width="16.5703125" style="1" customWidth="1"/>
    <col min="7175" max="7182" width="0" style="1" hidden="1" customWidth="1"/>
    <col min="7183" max="7183" width="13.28515625" style="1" customWidth="1"/>
    <col min="7184" max="7184" width="13.85546875" style="1" customWidth="1"/>
    <col min="7185" max="7185" width="13.7109375" style="1" customWidth="1"/>
    <col min="7186" max="7186" width="9.5703125" style="1" bestFit="1" customWidth="1"/>
    <col min="7187" max="7187" width="11.5703125" style="1" customWidth="1"/>
    <col min="7188" max="7188" width="10" style="1" bestFit="1" customWidth="1"/>
    <col min="7189" max="7189" width="12.42578125" style="1" customWidth="1"/>
    <col min="7190" max="7190" width="11.5703125" style="1" bestFit="1" customWidth="1"/>
    <col min="7191" max="7425" width="9.140625" style="1"/>
    <col min="7426" max="7426" width="8.42578125" style="1" customWidth="1"/>
    <col min="7427" max="7427" width="36" style="1" customWidth="1"/>
    <col min="7428" max="7428" width="12.140625" style="1" customWidth="1"/>
    <col min="7429" max="7429" width="14.7109375" style="1" customWidth="1"/>
    <col min="7430" max="7430" width="16.5703125" style="1" customWidth="1"/>
    <col min="7431" max="7438" width="0" style="1" hidden="1" customWidth="1"/>
    <col min="7439" max="7439" width="13.28515625" style="1" customWidth="1"/>
    <col min="7440" max="7440" width="13.85546875" style="1" customWidth="1"/>
    <col min="7441" max="7441" width="13.7109375" style="1" customWidth="1"/>
    <col min="7442" max="7442" width="9.5703125" style="1" bestFit="1" customWidth="1"/>
    <col min="7443" max="7443" width="11.5703125" style="1" customWidth="1"/>
    <col min="7444" max="7444" width="10" style="1" bestFit="1" customWidth="1"/>
    <col min="7445" max="7445" width="12.42578125" style="1" customWidth="1"/>
    <col min="7446" max="7446" width="11.5703125" style="1" bestFit="1" customWidth="1"/>
    <col min="7447" max="7681" width="9.140625" style="1"/>
    <col min="7682" max="7682" width="8.42578125" style="1" customWidth="1"/>
    <col min="7683" max="7683" width="36" style="1" customWidth="1"/>
    <col min="7684" max="7684" width="12.140625" style="1" customWidth="1"/>
    <col min="7685" max="7685" width="14.7109375" style="1" customWidth="1"/>
    <col min="7686" max="7686" width="16.5703125" style="1" customWidth="1"/>
    <col min="7687" max="7694" width="0" style="1" hidden="1" customWidth="1"/>
    <col min="7695" max="7695" width="13.28515625" style="1" customWidth="1"/>
    <col min="7696" max="7696" width="13.85546875" style="1" customWidth="1"/>
    <col min="7697" max="7697" width="13.7109375" style="1" customWidth="1"/>
    <col min="7698" max="7698" width="9.5703125" style="1" bestFit="1" customWidth="1"/>
    <col min="7699" max="7699" width="11.5703125" style="1" customWidth="1"/>
    <col min="7700" max="7700" width="10" style="1" bestFit="1" customWidth="1"/>
    <col min="7701" max="7701" width="12.42578125" style="1" customWidth="1"/>
    <col min="7702" max="7702" width="11.5703125" style="1" bestFit="1" customWidth="1"/>
    <col min="7703" max="7937" width="9.140625" style="1"/>
    <col min="7938" max="7938" width="8.42578125" style="1" customWidth="1"/>
    <col min="7939" max="7939" width="36" style="1" customWidth="1"/>
    <col min="7940" max="7940" width="12.140625" style="1" customWidth="1"/>
    <col min="7941" max="7941" width="14.7109375" style="1" customWidth="1"/>
    <col min="7942" max="7942" width="16.5703125" style="1" customWidth="1"/>
    <col min="7943" max="7950" width="0" style="1" hidden="1" customWidth="1"/>
    <col min="7951" max="7951" width="13.28515625" style="1" customWidth="1"/>
    <col min="7952" max="7952" width="13.85546875" style="1" customWidth="1"/>
    <col min="7953" max="7953" width="13.7109375" style="1" customWidth="1"/>
    <col min="7954" max="7954" width="9.5703125" style="1" bestFit="1" customWidth="1"/>
    <col min="7955" max="7955" width="11.5703125" style="1" customWidth="1"/>
    <col min="7956" max="7956" width="10" style="1" bestFit="1" customWidth="1"/>
    <col min="7957" max="7957" width="12.42578125" style="1" customWidth="1"/>
    <col min="7958" max="7958" width="11.5703125" style="1" bestFit="1" customWidth="1"/>
    <col min="7959" max="8193" width="9.140625" style="1"/>
    <col min="8194" max="8194" width="8.42578125" style="1" customWidth="1"/>
    <col min="8195" max="8195" width="36" style="1" customWidth="1"/>
    <col min="8196" max="8196" width="12.140625" style="1" customWidth="1"/>
    <col min="8197" max="8197" width="14.7109375" style="1" customWidth="1"/>
    <col min="8198" max="8198" width="16.5703125" style="1" customWidth="1"/>
    <col min="8199" max="8206" width="0" style="1" hidden="1" customWidth="1"/>
    <col min="8207" max="8207" width="13.28515625" style="1" customWidth="1"/>
    <col min="8208" max="8208" width="13.85546875" style="1" customWidth="1"/>
    <col min="8209" max="8209" width="13.7109375" style="1" customWidth="1"/>
    <col min="8210" max="8210" width="9.5703125" style="1" bestFit="1" customWidth="1"/>
    <col min="8211" max="8211" width="11.5703125" style="1" customWidth="1"/>
    <col min="8212" max="8212" width="10" style="1" bestFit="1" customWidth="1"/>
    <col min="8213" max="8213" width="12.42578125" style="1" customWidth="1"/>
    <col min="8214" max="8214" width="11.5703125" style="1" bestFit="1" customWidth="1"/>
    <col min="8215" max="8449" width="9.140625" style="1"/>
    <col min="8450" max="8450" width="8.42578125" style="1" customWidth="1"/>
    <col min="8451" max="8451" width="36" style="1" customWidth="1"/>
    <col min="8452" max="8452" width="12.140625" style="1" customWidth="1"/>
    <col min="8453" max="8453" width="14.7109375" style="1" customWidth="1"/>
    <col min="8454" max="8454" width="16.5703125" style="1" customWidth="1"/>
    <col min="8455" max="8462" width="0" style="1" hidden="1" customWidth="1"/>
    <col min="8463" max="8463" width="13.28515625" style="1" customWidth="1"/>
    <col min="8464" max="8464" width="13.85546875" style="1" customWidth="1"/>
    <col min="8465" max="8465" width="13.7109375" style="1" customWidth="1"/>
    <col min="8466" max="8466" width="9.5703125" style="1" bestFit="1" customWidth="1"/>
    <col min="8467" max="8467" width="11.5703125" style="1" customWidth="1"/>
    <col min="8468" max="8468" width="10" style="1" bestFit="1" customWidth="1"/>
    <col min="8469" max="8469" width="12.42578125" style="1" customWidth="1"/>
    <col min="8470" max="8470" width="11.5703125" style="1" bestFit="1" customWidth="1"/>
    <col min="8471" max="8705" width="9.140625" style="1"/>
    <col min="8706" max="8706" width="8.42578125" style="1" customWidth="1"/>
    <col min="8707" max="8707" width="36" style="1" customWidth="1"/>
    <col min="8708" max="8708" width="12.140625" style="1" customWidth="1"/>
    <col min="8709" max="8709" width="14.7109375" style="1" customWidth="1"/>
    <col min="8710" max="8710" width="16.5703125" style="1" customWidth="1"/>
    <col min="8711" max="8718" width="0" style="1" hidden="1" customWidth="1"/>
    <col min="8719" max="8719" width="13.28515625" style="1" customWidth="1"/>
    <col min="8720" max="8720" width="13.85546875" style="1" customWidth="1"/>
    <col min="8721" max="8721" width="13.7109375" style="1" customWidth="1"/>
    <col min="8722" max="8722" width="9.5703125" style="1" bestFit="1" customWidth="1"/>
    <col min="8723" max="8723" width="11.5703125" style="1" customWidth="1"/>
    <col min="8724" max="8724" width="10" style="1" bestFit="1" customWidth="1"/>
    <col min="8725" max="8725" width="12.42578125" style="1" customWidth="1"/>
    <col min="8726" max="8726" width="11.5703125" style="1" bestFit="1" customWidth="1"/>
    <col min="8727" max="8961" width="9.140625" style="1"/>
    <col min="8962" max="8962" width="8.42578125" style="1" customWidth="1"/>
    <col min="8963" max="8963" width="36" style="1" customWidth="1"/>
    <col min="8964" max="8964" width="12.140625" style="1" customWidth="1"/>
    <col min="8965" max="8965" width="14.7109375" style="1" customWidth="1"/>
    <col min="8966" max="8966" width="16.5703125" style="1" customWidth="1"/>
    <col min="8967" max="8974" width="0" style="1" hidden="1" customWidth="1"/>
    <col min="8975" max="8975" width="13.28515625" style="1" customWidth="1"/>
    <col min="8976" max="8976" width="13.85546875" style="1" customWidth="1"/>
    <col min="8977" max="8977" width="13.7109375" style="1" customWidth="1"/>
    <col min="8978" max="8978" width="9.5703125" style="1" bestFit="1" customWidth="1"/>
    <col min="8979" max="8979" width="11.5703125" style="1" customWidth="1"/>
    <col min="8980" max="8980" width="10" style="1" bestFit="1" customWidth="1"/>
    <col min="8981" max="8981" width="12.42578125" style="1" customWidth="1"/>
    <col min="8982" max="8982" width="11.5703125" style="1" bestFit="1" customWidth="1"/>
    <col min="8983" max="9217" width="9.140625" style="1"/>
    <col min="9218" max="9218" width="8.42578125" style="1" customWidth="1"/>
    <col min="9219" max="9219" width="36" style="1" customWidth="1"/>
    <col min="9220" max="9220" width="12.140625" style="1" customWidth="1"/>
    <col min="9221" max="9221" width="14.7109375" style="1" customWidth="1"/>
    <col min="9222" max="9222" width="16.5703125" style="1" customWidth="1"/>
    <col min="9223" max="9230" width="0" style="1" hidden="1" customWidth="1"/>
    <col min="9231" max="9231" width="13.28515625" style="1" customWidth="1"/>
    <col min="9232" max="9232" width="13.85546875" style="1" customWidth="1"/>
    <col min="9233" max="9233" width="13.7109375" style="1" customWidth="1"/>
    <col min="9234" max="9234" width="9.5703125" style="1" bestFit="1" customWidth="1"/>
    <col min="9235" max="9235" width="11.5703125" style="1" customWidth="1"/>
    <col min="9236" max="9236" width="10" style="1" bestFit="1" customWidth="1"/>
    <col min="9237" max="9237" width="12.42578125" style="1" customWidth="1"/>
    <col min="9238" max="9238" width="11.5703125" style="1" bestFit="1" customWidth="1"/>
    <col min="9239" max="9473" width="9.140625" style="1"/>
    <col min="9474" max="9474" width="8.42578125" style="1" customWidth="1"/>
    <col min="9475" max="9475" width="36" style="1" customWidth="1"/>
    <col min="9476" max="9476" width="12.140625" style="1" customWidth="1"/>
    <col min="9477" max="9477" width="14.7109375" style="1" customWidth="1"/>
    <col min="9478" max="9478" width="16.5703125" style="1" customWidth="1"/>
    <col min="9479" max="9486" width="0" style="1" hidden="1" customWidth="1"/>
    <col min="9487" max="9487" width="13.28515625" style="1" customWidth="1"/>
    <col min="9488" max="9488" width="13.85546875" style="1" customWidth="1"/>
    <col min="9489" max="9489" width="13.7109375" style="1" customWidth="1"/>
    <col min="9490" max="9490" width="9.5703125" style="1" bestFit="1" customWidth="1"/>
    <col min="9491" max="9491" width="11.5703125" style="1" customWidth="1"/>
    <col min="9492" max="9492" width="10" style="1" bestFit="1" customWidth="1"/>
    <col min="9493" max="9493" width="12.42578125" style="1" customWidth="1"/>
    <col min="9494" max="9494" width="11.5703125" style="1" bestFit="1" customWidth="1"/>
    <col min="9495" max="9729" width="9.140625" style="1"/>
    <col min="9730" max="9730" width="8.42578125" style="1" customWidth="1"/>
    <col min="9731" max="9731" width="36" style="1" customWidth="1"/>
    <col min="9732" max="9732" width="12.140625" style="1" customWidth="1"/>
    <col min="9733" max="9733" width="14.7109375" style="1" customWidth="1"/>
    <col min="9734" max="9734" width="16.5703125" style="1" customWidth="1"/>
    <col min="9735" max="9742" width="0" style="1" hidden="1" customWidth="1"/>
    <col min="9743" max="9743" width="13.28515625" style="1" customWidth="1"/>
    <col min="9744" max="9744" width="13.85546875" style="1" customWidth="1"/>
    <col min="9745" max="9745" width="13.7109375" style="1" customWidth="1"/>
    <col min="9746" max="9746" width="9.5703125" style="1" bestFit="1" customWidth="1"/>
    <col min="9747" max="9747" width="11.5703125" style="1" customWidth="1"/>
    <col min="9748" max="9748" width="10" style="1" bestFit="1" customWidth="1"/>
    <col min="9749" max="9749" width="12.42578125" style="1" customWidth="1"/>
    <col min="9750" max="9750" width="11.5703125" style="1" bestFit="1" customWidth="1"/>
    <col min="9751" max="9985" width="9.140625" style="1"/>
    <col min="9986" max="9986" width="8.42578125" style="1" customWidth="1"/>
    <col min="9987" max="9987" width="36" style="1" customWidth="1"/>
    <col min="9988" max="9988" width="12.140625" style="1" customWidth="1"/>
    <col min="9989" max="9989" width="14.7109375" style="1" customWidth="1"/>
    <col min="9990" max="9990" width="16.5703125" style="1" customWidth="1"/>
    <col min="9991" max="9998" width="0" style="1" hidden="1" customWidth="1"/>
    <col min="9999" max="9999" width="13.28515625" style="1" customWidth="1"/>
    <col min="10000" max="10000" width="13.85546875" style="1" customWidth="1"/>
    <col min="10001" max="10001" width="13.7109375" style="1" customWidth="1"/>
    <col min="10002" max="10002" width="9.5703125" style="1" bestFit="1" customWidth="1"/>
    <col min="10003" max="10003" width="11.5703125" style="1" customWidth="1"/>
    <col min="10004" max="10004" width="10" style="1" bestFit="1" customWidth="1"/>
    <col min="10005" max="10005" width="12.42578125" style="1" customWidth="1"/>
    <col min="10006" max="10006" width="11.5703125" style="1" bestFit="1" customWidth="1"/>
    <col min="10007" max="10241" width="9.140625" style="1"/>
    <col min="10242" max="10242" width="8.42578125" style="1" customWidth="1"/>
    <col min="10243" max="10243" width="36" style="1" customWidth="1"/>
    <col min="10244" max="10244" width="12.140625" style="1" customWidth="1"/>
    <col min="10245" max="10245" width="14.7109375" style="1" customWidth="1"/>
    <col min="10246" max="10246" width="16.5703125" style="1" customWidth="1"/>
    <col min="10247" max="10254" width="0" style="1" hidden="1" customWidth="1"/>
    <col min="10255" max="10255" width="13.28515625" style="1" customWidth="1"/>
    <col min="10256" max="10256" width="13.85546875" style="1" customWidth="1"/>
    <col min="10257" max="10257" width="13.7109375" style="1" customWidth="1"/>
    <col min="10258" max="10258" width="9.5703125" style="1" bestFit="1" customWidth="1"/>
    <col min="10259" max="10259" width="11.5703125" style="1" customWidth="1"/>
    <col min="10260" max="10260" width="10" style="1" bestFit="1" customWidth="1"/>
    <col min="10261" max="10261" width="12.42578125" style="1" customWidth="1"/>
    <col min="10262" max="10262" width="11.5703125" style="1" bestFit="1" customWidth="1"/>
    <col min="10263" max="10497" width="9.140625" style="1"/>
    <col min="10498" max="10498" width="8.42578125" style="1" customWidth="1"/>
    <col min="10499" max="10499" width="36" style="1" customWidth="1"/>
    <col min="10500" max="10500" width="12.140625" style="1" customWidth="1"/>
    <col min="10501" max="10501" width="14.7109375" style="1" customWidth="1"/>
    <col min="10502" max="10502" width="16.5703125" style="1" customWidth="1"/>
    <col min="10503" max="10510" width="0" style="1" hidden="1" customWidth="1"/>
    <col min="10511" max="10511" width="13.28515625" style="1" customWidth="1"/>
    <col min="10512" max="10512" width="13.85546875" style="1" customWidth="1"/>
    <col min="10513" max="10513" width="13.7109375" style="1" customWidth="1"/>
    <col min="10514" max="10514" width="9.5703125" style="1" bestFit="1" customWidth="1"/>
    <col min="10515" max="10515" width="11.5703125" style="1" customWidth="1"/>
    <col min="10516" max="10516" width="10" style="1" bestFit="1" customWidth="1"/>
    <col min="10517" max="10517" width="12.42578125" style="1" customWidth="1"/>
    <col min="10518" max="10518" width="11.5703125" style="1" bestFit="1" customWidth="1"/>
    <col min="10519" max="10753" width="9.140625" style="1"/>
    <col min="10754" max="10754" width="8.42578125" style="1" customWidth="1"/>
    <col min="10755" max="10755" width="36" style="1" customWidth="1"/>
    <col min="10756" max="10756" width="12.140625" style="1" customWidth="1"/>
    <col min="10757" max="10757" width="14.7109375" style="1" customWidth="1"/>
    <col min="10758" max="10758" width="16.5703125" style="1" customWidth="1"/>
    <col min="10759" max="10766" width="0" style="1" hidden="1" customWidth="1"/>
    <col min="10767" max="10767" width="13.28515625" style="1" customWidth="1"/>
    <col min="10768" max="10768" width="13.85546875" style="1" customWidth="1"/>
    <col min="10769" max="10769" width="13.7109375" style="1" customWidth="1"/>
    <col min="10770" max="10770" width="9.5703125" style="1" bestFit="1" customWidth="1"/>
    <col min="10771" max="10771" width="11.5703125" style="1" customWidth="1"/>
    <col min="10772" max="10772" width="10" style="1" bestFit="1" customWidth="1"/>
    <col min="10773" max="10773" width="12.42578125" style="1" customWidth="1"/>
    <col min="10774" max="10774" width="11.5703125" style="1" bestFit="1" customWidth="1"/>
    <col min="10775" max="11009" width="9.140625" style="1"/>
    <col min="11010" max="11010" width="8.42578125" style="1" customWidth="1"/>
    <col min="11011" max="11011" width="36" style="1" customWidth="1"/>
    <col min="11012" max="11012" width="12.140625" style="1" customWidth="1"/>
    <col min="11013" max="11013" width="14.7109375" style="1" customWidth="1"/>
    <col min="11014" max="11014" width="16.5703125" style="1" customWidth="1"/>
    <col min="11015" max="11022" width="0" style="1" hidden="1" customWidth="1"/>
    <col min="11023" max="11023" width="13.28515625" style="1" customWidth="1"/>
    <col min="11024" max="11024" width="13.85546875" style="1" customWidth="1"/>
    <col min="11025" max="11025" width="13.7109375" style="1" customWidth="1"/>
    <col min="11026" max="11026" width="9.5703125" style="1" bestFit="1" customWidth="1"/>
    <col min="11027" max="11027" width="11.5703125" style="1" customWidth="1"/>
    <col min="11028" max="11028" width="10" style="1" bestFit="1" customWidth="1"/>
    <col min="11029" max="11029" width="12.42578125" style="1" customWidth="1"/>
    <col min="11030" max="11030" width="11.5703125" style="1" bestFit="1" customWidth="1"/>
    <col min="11031" max="11265" width="9.140625" style="1"/>
    <col min="11266" max="11266" width="8.42578125" style="1" customWidth="1"/>
    <col min="11267" max="11267" width="36" style="1" customWidth="1"/>
    <col min="11268" max="11268" width="12.140625" style="1" customWidth="1"/>
    <col min="11269" max="11269" width="14.7109375" style="1" customWidth="1"/>
    <col min="11270" max="11270" width="16.5703125" style="1" customWidth="1"/>
    <col min="11271" max="11278" width="0" style="1" hidden="1" customWidth="1"/>
    <col min="11279" max="11279" width="13.28515625" style="1" customWidth="1"/>
    <col min="11280" max="11280" width="13.85546875" style="1" customWidth="1"/>
    <col min="11281" max="11281" width="13.7109375" style="1" customWidth="1"/>
    <col min="11282" max="11282" width="9.5703125" style="1" bestFit="1" customWidth="1"/>
    <col min="11283" max="11283" width="11.5703125" style="1" customWidth="1"/>
    <col min="11284" max="11284" width="10" style="1" bestFit="1" customWidth="1"/>
    <col min="11285" max="11285" width="12.42578125" style="1" customWidth="1"/>
    <col min="11286" max="11286" width="11.5703125" style="1" bestFit="1" customWidth="1"/>
    <col min="11287" max="11521" width="9.140625" style="1"/>
    <col min="11522" max="11522" width="8.42578125" style="1" customWidth="1"/>
    <col min="11523" max="11523" width="36" style="1" customWidth="1"/>
    <col min="11524" max="11524" width="12.140625" style="1" customWidth="1"/>
    <col min="11525" max="11525" width="14.7109375" style="1" customWidth="1"/>
    <col min="11526" max="11526" width="16.5703125" style="1" customWidth="1"/>
    <col min="11527" max="11534" width="0" style="1" hidden="1" customWidth="1"/>
    <col min="11535" max="11535" width="13.28515625" style="1" customWidth="1"/>
    <col min="11536" max="11536" width="13.85546875" style="1" customWidth="1"/>
    <col min="11537" max="11537" width="13.7109375" style="1" customWidth="1"/>
    <col min="11538" max="11538" width="9.5703125" style="1" bestFit="1" customWidth="1"/>
    <col min="11539" max="11539" width="11.5703125" style="1" customWidth="1"/>
    <col min="11540" max="11540" width="10" style="1" bestFit="1" customWidth="1"/>
    <col min="11541" max="11541" width="12.42578125" style="1" customWidth="1"/>
    <col min="11542" max="11542" width="11.5703125" style="1" bestFit="1" customWidth="1"/>
    <col min="11543" max="11777" width="9.140625" style="1"/>
    <col min="11778" max="11778" width="8.42578125" style="1" customWidth="1"/>
    <col min="11779" max="11779" width="36" style="1" customWidth="1"/>
    <col min="11780" max="11780" width="12.140625" style="1" customWidth="1"/>
    <col min="11781" max="11781" width="14.7109375" style="1" customWidth="1"/>
    <col min="11782" max="11782" width="16.5703125" style="1" customWidth="1"/>
    <col min="11783" max="11790" width="0" style="1" hidden="1" customWidth="1"/>
    <col min="11791" max="11791" width="13.28515625" style="1" customWidth="1"/>
    <col min="11792" max="11792" width="13.85546875" style="1" customWidth="1"/>
    <col min="11793" max="11793" width="13.7109375" style="1" customWidth="1"/>
    <col min="11794" max="11794" width="9.5703125" style="1" bestFit="1" customWidth="1"/>
    <col min="11795" max="11795" width="11.5703125" style="1" customWidth="1"/>
    <col min="11796" max="11796" width="10" style="1" bestFit="1" customWidth="1"/>
    <col min="11797" max="11797" width="12.42578125" style="1" customWidth="1"/>
    <col min="11798" max="11798" width="11.5703125" style="1" bestFit="1" customWidth="1"/>
    <col min="11799" max="12033" width="9.140625" style="1"/>
    <col min="12034" max="12034" width="8.42578125" style="1" customWidth="1"/>
    <col min="12035" max="12035" width="36" style="1" customWidth="1"/>
    <col min="12036" max="12036" width="12.140625" style="1" customWidth="1"/>
    <col min="12037" max="12037" width="14.7109375" style="1" customWidth="1"/>
    <col min="12038" max="12038" width="16.5703125" style="1" customWidth="1"/>
    <col min="12039" max="12046" width="0" style="1" hidden="1" customWidth="1"/>
    <col min="12047" max="12047" width="13.28515625" style="1" customWidth="1"/>
    <col min="12048" max="12048" width="13.85546875" style="1" customWidth="1"/>
    <col min="12049" max="12049" width="13.7109375" style="1" customWidth="1"/>
    <col min="12050" max="12050" width="9.5703125" style="1" bestFit="1" customWidth="1"/>
    <col min="12051" max="12051" width="11.5703125" style="1" customWidth="1"/>
    <col min="12052" max="12052" width="10" style="1" bestFit="1" customWidth="1"/>
    <col min="12053" max="12053" width="12.42578125" style="1" customWidth="1"/>
    <col min="12054" max="12054" width="11.5703125" style="1" bestFit="1" customWidth="1"/>
    <col min="12055" max="12289" width="9.140625" style="1"/>
    <col min="12290" max="12290" width="8.42578125" style="1" customWidth="1"/>
    <col min="12291" max="12291" width="36" style="1" customWidth="1"/>
    <col min="12292" max="12292" width="12.140625" style="1" customWidth="1"/>
    <col min="12293" max="12293" width="14.7109375" style="1" customWidth="1"/>
    <col min="12294" max="12294" width="16.5703125" style="1" customWidth="1"/>
    <col min="12295" max="12302" width="0" style="1" hidden="1" customWidth="1"/>
    <col min="12303" max="12303" width="13.28515625" style="1" customWidth="1"/>
    <col min="12304" max="12304" width="13.85546875" style="1" customWidth="1"/>
    <col min="12305" max="12305" width="13.7109375" style="1" customWidth="1"/>
    <col min="12306" max="12306" width="9.5703125" style="1" bestFit="1" customWidth="1"/>
    <col min="12307" max="12307" width="11.5703125" style="1" customWidth="1"/>
    <col min="12308" max="12308" width="10" style="1" bestFit="1" customWidth="1"/>
    <col min="12309" max="12309" width="12.42578125" style="1" customWidth="1"/>
    <col min="12310" max="12310" width="11.5703125" style="1" bestFit="1" customWidth="1"/>
    <col min="12311" max="12545" width="9.140625" style="1"/>
    <col min="12546" max="12546" width="8.42578125" style="1" customWidth="1"/>
    <col min="12547" max="12547" width="36" style="1" customWidth="1"/>
    <col min="12548" max="12548" width="12.140625" style="1" customWidth="1"/>
    <col min="12549" max="12549" width="14.7109375" style="1" customWidth="1"/>
    <col min="12550" max="12550" width="16.5703125" style="1" customWidth="1"/>
    <col min="12551" max="12558" width="0" style="1" hidden="1" customWidth="1"/>
    <col min="12559" max="12559" width="13.28515625" style="1" customWidth="1"/>
    <col min="12560" max="12560" width="13.85546875" style="1" customWidth="1"/>
    <col min="12561" max="12561" width="13.7109375" style="1" customWidth="1"/>
    <col min="12562" max="12562" width="9.5703125" style="1" bestFit="1" customWidth="1"/>
    <col min="12563" max="12563" width="11.5703125" style="1" customWidth="1"/>
    <col min="12564" max="12564" width="10" style="1" bestFit="1" customWidth="1"/>
    <col min="12565" max="12565" width="12.42578125" style="1" customWidth="1"/>
    <col min="12566" max="12566" width="11.5703125" style="1" bestFit="1" customWidth="1"/>
    <col min="12567" max="12801" width="9.140625" style="1"/>
    <col min="12802" max="12802" width="8.42578125" style="1" customWidth="1"/>
    <col min="12803" max="12803" width="36" style="1" customWidth="1"/>
    <col min="12804" max="12804" width="12.140625" style="1" customWidth="1"/>
    <col min="12805" max="12805" width="14.7109375" style="1" customWidth="1"/>
    <col min="12806" max="12806" width="16.5703125" style="1" customWidth="1"/>
    <col min="12807" max="12814" width="0" style="1" hidden="1" customWidth="1"/>
    <col min="12815" max="12815" width="13.28515625" style="1" customWidth="1"/>
    <col min="12816" max="12816" width="13.85546875" style="1" customWidth="1"/>
    <col min="12817" max="12817" width="13.7109375" style="1" customWidth="1"/>
    <col min="12818" max="12818" width="9.5703125" style="1" bestFit="1" customWidth="1"/>
    <col min="12819" max="12819" width="11.5703125" style="1" customWidth="1"/>
    <col min="12820" max="12820" width="10" style="1" bestFit="1" customWidth="1"/>
    <col min="12821" max="12821" width="12.42578125" style="1" customWidth="1"/>
    <col min="12822" max="12822" width="11.5703125" style="1" bestFit="1" customWidth="1"/>
    <col min="12823" max="13057" width="9.140625" style="1"/>
    <col min="13058" max="13058" width="8.42578125" style="1" customWidth="1"/>
    <col min="13059" max="13059" width="36" style="1" customWidth="1"/>
    <col min="13060" max="13060" width="12.140625" style="1" customWidth="1"/>
    <col min="13061" max="13061" width="14.7109375" style="1" customWidth="1"/>
    <col min="13062" max="13062" width="16.5703125" style="1" customWidth="1"/>
    <col min="13063" max="13070" width="0" style="1" hidden="1" customWidth="1"/>
    <col min="13071" max="13071" width="13.28515625" style="1" customWidth="1"/>
    <col min="13072" max="13072" width="13.85546875" style="1" customWidth="1"/>
    <col min="13073" max="13073" width="13.7109375" style="1" customWidth="1"/>
    <col min="13074" max="13074" width="9.5703125" style="1" bestFit="1" customWidth="1"/>
    <col min="13075" max="13075" width="11.5703125" style="1" customWidth="1"/>
    <col min="13076" max="13076" width="10" style="1" bestFit="1" customWidth="1"/>
    <col min="13077" max="13077" width="12.42578125" style="1" customWidth="1"/>
    <col min="13078" max="13078" width="11.5703125" style="1" bestFit="1" customWidth="1"/>
    <col min="13079" max="13313" width="9.140625" style="1"/>
    <col min="13314" max="13314" width="8.42578125" style="1" customWidth="1"/>
    <col min="13315" max="13315" width="36" style="1" customWidth="1"/>
    <col min="13316" max="13316" width="12.140625" style="1" customWidth="1"/>
    <col min="13317" max="13317" width="14.7109375" style="1" customWidth="1"/>
    <col min="13318" max="13318" width="16.5703125" style="1" customWidth="1"/>
    <col min="13319" max="13326" width="0" style="1" hidden="1" customWidth="1"/>
    <col min="13327" max="13327" width="13.28515625" style="1" customWidth="1"/>
    <col min="13328" max="13328" width="13.85546875" style="1" customWidth="1"/>
    <col min="13329" max="13329" width="13.7109375" style="1" customWidth="1"/>
    <col min="13330" max="13330" width="9.5703125" style="1" bestFit="1" customWidth="1"/>
    <col min="13331" max="13331" width="11.5703125" style="1" customWidth="1"/>
    <col min="13332" max="13332" width="10" style="1" bestFit="1" customWidth="1"/>
    <col min="13333" max="13333" width="12.42578125" style="1" customWidth="1"/>
    <col min="13334" max="13334" width="11.5703125" style="1" bestFit="1" customWidth="1"/>
    <col min="13335" max="13569" width="9.140625" style="1"/>
    <col min="13570" max="13570" width="8.42578125" style="1" customWidth="1"/>
    <col min="13571" max="13571" width="36" style="1" customWidth="1"/>
    <col min="13572" max="13572" width="12.140625" style="1" customWidth="1"/>
    <col min="13573" max="13573" width="14.7109375" style="1" customWidth="1"/>
    <col min="13574" max="13574" width="16.5703125" style="1" customWidth="1"/>
    <col min="13575" max="13582" width="0" style="1" hidden="1" customWidth="1"/>
    <col min="13583" max="13583" width="13.28515625" style="1" customWidth="1"/>
    <col min="13584" max="13584" width="13.85546875" style="1" customWidth="1"/>
    <col min="13585" max="13585" width="13.7109375" style="1" customWidth="1"/>
    <col min="13586" max="13586" width="9.5703125" style="1" bestFit="1" customWidth="1"/>
    <col min="13587" max="13587" width="11.5703125" style="1" customWidth="1"/>
    <col min="13588" max="13588" width="10" style="1" bestFit="1" customWidth="1"/>
    <col min="13589" max="13589" width="12.42578125" style="1" customWidth="1"/>
    <col min="13590" max="13590" width="11.5703125" style="1" bestFit="1" customWidth="1"/>
    <col min="13591" max="13825" width="9.140625" style="1"/>
    <col min="13826" max="13826" width="8.42578125" style="1" customWidth="1"/>
    <col min="13827" max="13827" width="36" style="1" customWidth="1"/>
    <col min="13828" max="13828" width="12.140625" style="1" customWidth="1"/>
    <col min="13829" max="13829" width="14.7109375" style="1" customWidth="1"/>
    <col min="13830" max="13830" width="16.5703125" style="1" customWidth="1"/>
    <col min="13831" max="13838" width="0" style="1" hidden="1" customWidth="1"/>
    <col min="13839" max="13839" width="13.28515625" style="1" customWidth="1"/>
    <col min="13840" max="13840" width="13.85546875" style="1" customWidth="1"/>
    <col min="13841" max="13841" width="13.7109375" style="1" customWidth="1"/>
    <col min="13842" max="13842" width="9.5703125" style="1" bestFit="1" customWidth="1"/>
    <col min="13843" max="13843" width="11.5703125" style="1" customWidth="1"/>
    <col min="13844" max="13844" width="10" style="1" bestFit="1" customWidth="1"/>
    <col min="13845" max="13845" width="12.42578125" style="1" customWidth="1"/>
    <col min="13846" max="13846" width="11.5703125" style="1" bestFit="1" customWidth="1"/>
    <col min="13847" max="14081" width="9.140625" style="1"/>
    <col min="14082" max="14082" width="8.42578125" style="1" customWidth="1"/>
    <col min="14083" max="14083" width="36" style="1" customWidth="1"/>
    <col min="14084" max="14084" width="12.140625" style="1" customWidth="1"/>
    <col min="14085" max="14085" width="14.7109375" style="1" customWidth="1"/>
    <col min="14086" max="14086" width="16.5703125" style="1" customWidth="1"/>
    <col min="14087" max="14094" width="0" style="1" hidden="1" customWidth="1"/>
    <col min="14095" max="14095" width="13.28515625" style="1" customWidth="1"/>
    <col min="14096" max="14096" width="13.85546875" style="1" customWidth="1"/>
    <col min="14097" max="14097" width="13.7109375" style="1" customWidth="1"/>
    <col min="14098" max="14098" width="9.5703125" style="1" bestFit="1" customWidth="1"/>
    <col min="14099" max="14099" width="11.5703125" style="1" customWidth="1"/>
    <col min="14100" max="14100" width="10" style="1" bestFit="1" customWidth="1"/>
    <col min="14101" max="14101" width="12.42578125" style="1" customWidth="1"/>
    <col min="14102" max="14102" width="11.5703125" style="1" bestFit="1" customWidth="1"/>
    <col min="14103" max="14337" width="9.140625" style="1"/>
    <col min="14338" max="14338" width="8.42578125" style="1" customWidth="1"/>
    <col min="14339" max="14339" width="36" style="1" customWidth="1"/>
    <col min="14340" max="14340" width="12.140625" style="1" customWidth="1"/>
    <col min="14341" max="14341" width="14.7109375" style="1" customWidth="1"/>
    <col min="14342" max="14342" width="16.5703125" style="1" customWidth="1"/>
    <col min="14343" max="14350" width="0" style="1" hidden="1" customWidth="1"/>
    <col min="14351" max="14351" width="13.28515625" style="1" customWidth="1"/>
    <col min="14352" max="14352" width="13.85546875" style="1" customWidth="1"/>
    <col min="14353" max="14353" width="13.7109375" style="1" customWidth="1"/>
    <col min="14354" max="14354" width="9.5703125" style="1" bestFit="1" customWidth="1"/>
    <col min="14355" max="14355" width="11.5703125" style="1" customWidth="1"/>
    <col min="14356" max="14356" width="10" style="1" bestFit="1" customWidth="1"/>
    <col min="14357" max="14357" width="12.42578125" style="1" customWidth="1"/>
    <col min="14358" max="14358" width="11.5703125" style="1" bestFit="1" customWidth="1"/>
    <col min="14359" max="14593" width="9.140625" style="1"/>
    <col min="14594" max="14594" width="8.42578125" style="1" customWidth="1"/>
    <col min="14595" max="14595" width="36" style="1" customWidth="1"/>
    <col min="14596" max="14596" width="12.140625" style="1" customWidth="1"/>
    <col min="14597" max="14597" width="14.7109375" style="1" customWidth="1"/>
    <col min="14598" max="14598" width="16.5703125" style="1" customWidth="1"/>
    <col min="14599" max="14606" width="0" style="1" hidden="1" customWidth="1"/>
    <col min="14607" max="14607" width="13.28515625" style="1" customWidth="1"/>
    <col min="14608" max="14608" width="13.85546875" style="1" customWidth="1"/>
    <col min="14609" max="14609" width="13.7109375" style="1" customWidth="1"/>
    <col min="14610" max="14610" width="9.5703125" style="1" bestFit="1" customWidth="1"/>
    <col min="14611" max="14611" width="11.5703125" style="1" customWidth="1"/>
    <col min="14612" max="14612" width="10" style="1" bestFit="1" customWidth="1"/>
    <col min="14613" max="14613" width="12.42578125" style="1" customWidth="1"/>
    <col min="14614" max="14614" width="11.5703125" style="1" bestFit="1" customWidth="1"/>
    <col min="14615" max="14849" width="9.140625" style="1"/>
    <col min="14850" max="14850" width="8.42578125" style="1" customWidth="1"/>
    <col min="14851" max="14851" width="36" style="1" customWidth="1"/>
    <col min="14852" max="14852" width="12.140625" style="1" customWidth="1"/>
    <col min="14853" max="14853" width="14.7109375" style="1" customWidth="1"/>
    <col min="14854" max="14854" width="16.5703125" style="1" customWidth="1"/>
    <col min="14855" max="14862" width="0" style="1" hidden="1" customWidth="1"/>
    <col min="14863" max="14863" width="13.28515625" style="1" customWidth="1"/>
    <col min="14864" max="14864" width="13.85546875" style="1" customWidth="1"/>
    <col min="14865" max="14865" width="13.7109375" style="1" customWidth="1"/>
    <col min="14866" max="14866" width="9.5703125" style="1" bestFit="1" customWidth="1"/>
    <col min="14867" max="14867" width="11.5703125" style="1" customWidth="1"/>
    <col min="14868" max="14868" width="10" style="1" bestFit="1" customWidth="1"/>
    <col min="14869" max="14869" width="12.42578125" style="1" customWidth="1"/>
    <col min="14870" max="14870" width="11.5703125" style="1" bestFit="1" customWidth="1"/>
    <col min="14871" max="15105" width="9.140625" style="1"/>
    <col min="15106" max="15106" width="8.42578125" style="1" customWidth="1"/>
    <col min="15107" max="15107" width="36" style="1" customWidth="1"/>
    <col min="15108" max="15108" width="12.140625" style="1" customWidth="1"/>
    <col min="15109" max="15109" width="14.7109375" style="1" customWidth="1"/>
    <col min="15110" max="15110" width="16.5703125" style="1" customWidth="1"/>
    <col min="15111" max="15118" width="0" style="1" hidden="1" customWidth="1"/>
    <col min="15119" max="15119" width="13.28515625" style="1" customWidth="1"/>
    <col min="15120" max="15120" width="13.85546875" style="1" customWidth="1"/>
    <col min="15121" max="15121" width="13.7109375" style="1" customWidth="1"/>
    <col min="15122" max="15122" width="9.5703125" style="1" bestFit="1" customWidth="1"/>
    <col min="15123" max="15123" width="11.5703125" style="1" customWidth="1"/>
    <col min="15124" max="15124" width="10" style="1" bestFit="1" customWidth="1"/>
    <col min="15125" max="15125" width="12.42578125" style="1" customWidth="1"/>
    <col min="15126" max="15126" width="11.5703125" style="1" bestFit="1" customWidth="1"/>
    <col min="15127" max="15361" width="9.140625" style="1"/>
    <col min="15362" max="15362" width="8.42578125" style="1" customWidth="1"/>
    <col min="15363" max="15363" width="36" style="1" customWidth="1"/>
    <col min="15364" max="15364" width="12.140625" style="1" customWidth="1"/>
    <col min="15365" max="15365" width="14.7109375" style="1" customWidth="1"/>
    <col min="15366" max="15366" width="16.5703125" style="1" customWidth="1"/>
    <col min="15367" max="15374" width="0" style="1" hidden="1" customWidth="1"/>
    <col min="15375" max="15375" width="13.28515625" style="1" customWidth="1"/>
    <col min="15376" max="15376" width="13.85546875" style="1" customWidth="1"/>
    <col min="15377" max="15377" width="13.7109375" style="1" customWidth="1"/>
    <col min="15378" max="15378" width="9.5703125" style="1" bestFit="1" customWidth="1"/>
    <col min="15379" max="15379" width="11.5703125" style="1" customWidth="1"/>
    <col min="15380" max="15380" width="10" style="1" bestFit="1" customWidth="1"/>
    <col min="15381" max="15381" width="12.42578125" style="1" customWidth="1"/>
    <col min="15382" max="15382" width="11.5703125" style="1" bestFit="1" customWidth="1"/>
    <col min="15383" max="15617" width="9.140625" style="1"/>
    <col min="15618" max="15618" width="8.42578125" style="1" customWidth="1"/>
    <col min="15619" max="15619" width="36" style="1" customWidth="1"/>
    <col min="15620" max="15620" width="12.140625" style="1" customWidth="1"/>
    <col min="15621" max="15621" width="14.7109375" style="1" customWidth="1"/>
    <col min="15622" max="15622" width="16.5703125" style="1" customWidth="1"/>
    <col min="15623" max="15630" width="0" style="1" hidden="1" customWidth="1"/>
    <col min="15631" max="15631" width="13.28515625" style="1" customWidth="1"/>
    <col min="15632" max="15632" width="13.85546875" style="1" customWidth="1"/>
    <col min="15633" max="15633" width="13.7109375" style="1" customWidth="1"/>
    <col min="15634" max="15634" width="9.5703125" style="1" bestFit="1" customWidth="1"/>
    <col min="15635" max="15635" width="11.5703125" style="1" customWidth="1"/>
    <col min="15636" max="15636" width="10" style="1" bestFit="1" customWidth="1"/>
    <col min="15637" max="15637" width="12.42578125" style="1" customWidth="1"/>
    <col min="15638" max="15638" width="11.5703125" style="1" bestFit="1" customWidth="1"/>
    <col min="15639" max="15873" width="9.140625" style="1"/>
    <col min="15874" max="15874" width="8.42578125" style="1" customWidth="1"/>
    <col min="15875" max="15875" width="36" style="1" customWidth="1"/>
    <col min="15876" max="15876" width="12.140625" style="1" customWidth="1"/>
    <col min="15877" max="15877" width="14.7109375" style="1" customWidth="1"/>
    <col min="15878" max="15878" width="16.5703125" style="1" customWidth="1"/>
    <col min="15879" max="15886" width="0" style="1" hidden="1" customWidth="1"/>
    <col min="15887" max="15887" width="13.28515625" style="1" customWidth="1"/>
    <col min="15888" max="15888" width="13.85546875" style="1" customWidth="1"/>
    <col min="15889" max="15889" width="13.7109375" style="1" customWidth="1"/>
    <col min="15890" max="15890" width="9.5703125" style="1" bestFit="1" customWidth="1"/>
    <col min="15891" max="15891" width="11.5703125" style="1" customWidth="1"/>
    <col min="15892" max="15892" width="10" style="1" bestFit="1" customWidth="1"/>
    <col min="15893" max="15893" width="12.42578125" style="1" customWidth="1"/>
    <col min="15894" max="15894" width="11.5703125" style="1" bestFit="1" customWidth="1"/>
    <col min="15895" max="16129" width="9.140625" style="1"/>
    <col min="16130" max="16130" width="8.42578125" style="1" customWidth="1"/>
    <col min="16131" max="16131" width="36" style="1" customWidth="1"/>
    <col min="16132" max="16132" width="12.140625" style="1" customWidth="1"/>
    <col min="16133" max="16133" width="14.7109375" style="1" customWidth="1"/>
    <col min="16134" max="16134" width="16.5703125" style="1" customWidth="1"/>
    <col min="16135" max="16142" width="0" style="1" hidden="1" customWidth="1"/>
    <col min="16143" max="16143" width="13.28515625" style="1" customWidth="1"/>
    <col min="16144" max="16144" width="13.85546875" style="1" customWidth="1"/>
    <col min="16145" max="16145" width="13.7109375" style="1" customWidth="1"/>
    <col min="16146" max="16146" width="9.5703125" style="1" bestFit="1" customWidth="1"/>
    <col min="16147" max="16147" width="11.5703125" style="1" customWidth="1"/>
    <col min="16148" max="16148" width="10" style="1" bestFit="1" customWidth="1"/>
    <col min="16149" max="16149" width="12.42578125" style="1" customWidth="1"/>
    <col min="16150" max="16150" width="11.5703125" style="1" bestFit="1" customWidth="1"/>
    <col min="16151" max="16384" width="9.140625" style="1"/>
  </cols>
  <sheetData>
    <row r="1" spans="1:56" ht="15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</row>
    <row r="2" spans="1:56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</row>
    <row r="3" spans="1:56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56" ht="15.7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</row>
    <row r="5" spans="1:56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</row>
    <row r="6" spans="1:56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</row>
    <row r="7" spans="1:56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T7" s="2"/>
      <c r="U7" s="2"/>
    </row>
    <row r="8" spans="1:56" s="3" customFormat="1">
      <c r="A8" s="128" t="s">
        <v>3</v>
      </c>
      <c r="B8" s="129" t="s">
        <v>4</v>
      </c>
      <c r="C8" s="128" t="s">
        <v>256</v>
      </c>
      <c r="D8" s="128" t="s">
        <v>6</v>
      </c>
      <c r="E8" s="128" t="s">
        <v>6</v>
      </c>
      <c r="F8" s="124" t="s">
        <v>8</v>
      </c>
      <c r="G8" s="124" t="s">
        <v>9</v>
      </c>
      <c r="H8" s="124" t="s">
        <v>10</v>
      </c>
      <c r="I8" s="124" t="s">
        <v>11</v>
      </c>
      <c r="J8" s="124" t="s">
        <v>12</v>
      </c>
      <c r="K8" s="124" t="s">
        <v>13</v>
      </c>
      <c r="L8" s="124" t="s">
        <v>14</v>
      </c>
      <c r="M8" s="124" t="s">
        <v>15</v>
      </c>
      <c r="N8" s="128" t="s">
        <v>257</v>
      </c>
      <c r="O8" s="138" t="s">
        <v>17</v>
      </c>
      <c r="P8" s="138"/>
      <c r="T8" s="2"/>
      <c r="U8" s="2"/>
      <c r="Y8" s="3" t="s">
        <v>3</v>
      </c>
      <c r="Z8" s="3" t="s">
        <v>4</v>
      </c>
      <c r="AA8" s="3" t="s">
        <v>5</v>
      </c>
      <c r="AB8" s="3" t="s">
        <v>6</v>
      </c>
      <c r="AC8" s="3" t="s">
        <v>7</v>
      </c>
      <c r="AD8" s="3" t="s">
        <v>8</v>
      </c>
      <c r="AE8" s="3" t="s">
        <v>9</v>
      </c>
      <c r="AF8" s="3" t="s">
        <v>10</v>
      </c>
      <c r="AG8" s="3" t="s">
        <v>11</v>
      </c>
      <c r="AH8" s="3" t="s">
        <v>12</v>
      </c>
      <c r="AI8" s="3" t="s">
        <v>13</v>
      </c>
      <c r="AJ8" s="3" t="s">
        <v>14</v>
      </c>
      <c r="AK8" s="3" t="s">
        <v>15</v>
      </c>
      <c r="AL8" s="3" t="s">
        <v>16</v>
      </c>
      <c r="AM8" s="4" t="s">
        <v>17</v>
      </c>
      <c r="AN8" s="4"/>
      <c r="BB8" s="124" t="s">
        <v>266</v>
      </c>
      <c r="BD8" s="124" t="s">
        <v>268</v>
      </c>
    </row>
    <row r="9" spans="1:56" s="3" customFormat="1" ht="48" customHeight="1">
      <c r="A9" s="128"/>
      <c r="B9" s="129"/>
      <c r="C9" s="128"/>
      <c r="D9" s="128"/>
      <c r="E9" s="128"/>
      <c r="F9" s="125"/>
      <c r="G9" s="125"/>
      <c r="H9" s="125"/>
      <c r="I9" s="125"/>
      <c r="J9" s="125"/>
      <c r="K9" s="125"/>
      <c r="L9" s="125"/>
      <c r="M9" s="125"/>
      <c r="N9" s="128"/>
      <c r="O9" s="5" t="s">
        <v>18</v>
      </c>
      <c r="P9" s="6" t="s">
        <v>19</v>
      </c>
      <c r="T9" s="1"/>
      <c r="U9" s="1"/>
      <c r="AM9" s="4" t="s">
        <v>18</v>
      </c>
      <c r="AN9" s="3" t="s">
        <v>19</v>
      </c>
      <c r="BB9" s="125"/>
      <c r="BD9" s="125"/>
    </row>
    <row r="10" spans="1:56" s="10" customFormat="1">
      <c r="A10" s="7">
        <v>1</v>
      </c>
      <c r="B10" s="7">
        <v>2</v>
      </c>
      <c r="C10" s="7">
        <v>3</v>
      </c>
      <c r="D10" s="7">
        <v>4</v>
      </c>
      <c r="E10" s="7">
        <v>4</v>
      </c>
      <c r="F10" s="7"/>
      <c r="G10" s="7"/>
      <c r="H10" s="7"/>
      <c r="I10" s="7"/>
      <c r="J10" s="7"/>
      <c r="K10" s="7"/>
      <c r="L10" s="7"/>
      <c r="M10" s="7"/>
      <c r="N10" s="8">
        <v>5</v>
      </c>
      <c r="O10" s="9">
        <v>6</v>
      </c>
      <c r="P10" s="9">
        <v>7</v>
      </c>
      <c r="T10" s="2"/>
      <c r="U10" s="2"/>
      <c r="Y10" s="10">
        <v>1</v>
      </c>
      <c r="Z10" s="10">
        <v>2</v>
      </c>
      <c r="AA10" s="10">
        <v>3</v>
      </c>
      <c r="AB10" s="10">
        <v>4</v>
      </c>
      <c r="AC10" s="10">
        <v>4</v>
      </c>
      <c r="AL10" s="10">
        <v>5</v>
      </c>
      <c r="AM10" s="10">
        <v>6</v>
      </c>
      <c r="AN10" s="10">
        <v>7</v>
      </c>
      <c r="BB10" s="116"/>
      <c r="BD10" s="116"/>
    </row>
    <row r="11" spans="1:56" s="18" customFormat="1" ht="31.5">
      <c r="A11" s="11" t="s">
        <v>20</v>
      </c>
      <c r="B11" s="12" t="s">
        <v>21</v>
      </c>
      <c r="C11" s="13" t="s">
        <v>22</v>
      </c>
      <c r="D11" s="14" t="e">
        <f>D12+D54+D57+D58+D59+0.02</f>
        <v>#REF!</v>
      </c>
      <c r="E11" s="14">
        <f>E12+E54+E57+E59</f>
        <v>84593.069299999988</v>
      </c>
      <c r="F11" s="14" t="e">
        <f t="shared" ref="F11:M11" si="0">F12+F54+F57+F59</f>
        <v>#REF!</v>
      </c>
      <c r="G11" s="14" t="e">
        <f t="shared" si="0"/>
        <v>#REF!</v>
      </c>
      <c r="H11" s="14" t="e">
        <f t="shared" si="0"/>
        <v>#REF!</v>
      </c>
      <c r="I11" s="14" t="e">
        <f t="shared" si="0"/>
        <v>#REF!</v>
      </c>
      <c r="J11" s="14" t="e">
        <f t="shared" si="0"/>
        <v>#REF!</v>
      </c>
      <c r="K11" s="14" t="e">
        <f t="shared" si="0"/>
        <v>#REF!</v>
      </c>
      <c r="L11" s="14" t="e">
        <f t="shared" si="0"/>
        <v>#REF!</v>
      </c>
      <c r="M11" s="14" t="e">
        <f t="shared" si="0"/>
        <v>#REF!</v>
      </c>
      <c r="N11" s="14">
        <f>N12+N54+N57+N59</f>
        <v>88778.053838999986</v>
      </c>
      <c r="O11" s="15">
        <f>N11-E11</f>
        <v>4184.9845389999973</v>
      </c>
      <c r="P11" s="16">
        <f>O11/E11*100</f>
        <v>4.9471955251539708</v>
      </c>
      <c r="Q11" s="17"/>
      <c r="T11" s="2"/>
      <c r="U11" s="2"/>
      <c r="Y11" s="18" t="s">
        <v>20</v>
      </c>
      <c r="Z11" s="18" t="s">
        <v>21</v>
      </c>
      <c r="AA11" s="18" t="s">
        <v>22</v>
      </c>
      <c r="AB11" s="17">
        <v>84593.093299999993</v>
      </c>
      <c r="AC11" s="17">
        <v>84593.093299999993</v>
      </c>
      <c r="AD11" s="17">
        <v>21510.261999999999</v>
      </c>
      <c r="AE11" s="17">
        <v>23831.573</v>
      </c>
      <c r="AF11" s="17">
        <v>14483.792999999998</v>
      </c>
      <c r="AG11" s="17">
        <v>10596.545</v>
      </c>
      <c r="AH11" s="17">
        <v>2024.5729999999999</v>
      </c>
      <c r="AI11" s="17">
        <v>5053.1940000000004</v>
      </c>
      <c r="AJ11" s="17">
        <v>2330.9100000000003</v>
      </c>
      <c r="AK11" s="17">
        <v>0</v>
      </c>
      <c r="AL11" s="17">
        <v>80769.827999999994</v>
      </c>
      <c r="AM11" s="17">
        <v>-3823.2652999999991</v>
      </c>
      <c r="AN11" s="19">
        <v>-4.5195951003248069</v>
      </c>
      <c r="BB11" s="117"/>
      <c r="BD11" s="117"/>
    </row>
    <row r="12" spans="1:56" s="18" customFormat="1">
      <c r="A12" s="20" t="s">
        <v>23</v>
      </c>
      <c r="B12" s="12" t="s">
        <v>24</v>
      </c>
      <c r="C12" s="13" t="s">
        <v>22</v>
      </c>
      <c r="D12" s="14">
        <f>D13+D14+D15+D41</f>
        <v>9397.5109999999986</v>
      </c>
      <c r="E12" s="14">
        <f>D12</f>
        <v>9397.5109999999986</v>
      </c>
      <c r="F12" s="14">
        <f t="shared" ref="F12:M12" si="1">F13+F14+F15+F41</f>
        <v>1448.6370000000002</v>
      </c>
      <c r="G12" s="14">
        <f t="shared" si="1"/>
        <v>1773.8219999999999</v>
      </c>
      <c r="H12" s="14">
        <f t="shared" si="1"/>
        <v>609.428</v>
      </c>
      <c r="I12" s="14">
        <f>I13+I14+I15+I41</f>
        <v>557.85899999999992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>N13+N14+N15+N41</f>
        <v>10918.763838999999</v>
      </c>
      <c r="O12" s="15">
        <f t="shared" ref="O12:O75" si="2">N12-E12</f>
        <v>1521.2528390000007</v>
      </c>
      <c r="P12" s="16">
        <f>O12/E12*100</f>
        <v>16.18782717040715</v>
      </c>
      <c r="Q12" s="17"/>
      <c r="T12" s="1"/>
      <c r="U12" s="21"/>
      <c r="Y12" s="18" t="s">
        <v>23</v>
      </c>
      <c r="Z12" s="18" t="s">
        <v>24</v>
      </c>
      <c r="AA12" s="18" t="s">
        <v>22</v>
      </c>
      <c r="AB12" s="17">
        <v>9397.5109999999986</v>
      </c>
      <c r="AC12" s="17">
        <v>9397.5109999999986</v>
      </c>
      <c r="AD12" s="17">
        <v>4048.6499999999996</v>
      </c>
      <c r="AE12" s="17">
        <v>5158.1469999999999</v>
      </c>
      <c r="AF12" s="17">
        <v>1777.17</v>
      </c>
      <c r="AG12" s="17">
        <v>967.41099999999994</v>
      </c>
      <c r="AH12" s="17">
        <v>0</v>
      </c>
      <c r="AI12" s="17">
        <v>0</v>
      </c>
      <c r="AJ12" s="17">
        <v>16.591999999999999</v>
      </c>
      <c r="AK12" s="17">
        <v>0</v>
      </c>
      <c r="AL12" s="17">
        <v>11967.970000000001</v>
      </c>
      <c r="AM12" s="17">
        <v>2570.4590000000026</v>
      </c>
      <c r="AN12" s="19">
        <v>27.352551116992601</v>
      </c>
      <c r="BB12" s="117"/>
      <c r="BD12" s="117"/>
    </row>
    <row r="13" spans="1:56" ht="19.5" customHeight="1">
      <c r="A13" s="22" t="s">
        <v>25</v>
      </c>
      <c r="B13" s="23" t="s">
        <v>26</v>
      </c>
      <c r="C13" s="24" t="s">
        <v>22</v>
      </c>
      <c r="D13" s="25">
        <v>699.61599999999999</v>
      </c>
      <c r="E13" s="25">
        <f>D13</f>
        <v>699.61599999999999</v>
      </c>
      <c r="F13" s="25">
        <f>455.407-64.718</f>
        <v>390.68899999999996</v>
      </c>
      <c r="G13" s="25">
        <v>66.061999999999998</v>
      </c>
      <c r="H13" s="25">
        <f>195.842-29.464</f>
        <v>166.37800000000001</v>
      </c>
      <c r="I13" s="26">
        <f>416.171-222.373</f>
        <v>193.798</v>
      </c>
      <c r="J13" s="26"/>
      <c r="K13" s="26"/>
      <c r="L13" s="26"/>
      <c r="M13" s="26"/>
      <c r="N13" s="75">
        <v>990.20100000000002</v>
      </c>
      <c r="O13" s="28">
        <f t="shared" si="2"/>
        <v>290.58500000000004</v>
      </c>
      <c r="P13" s="29">
        <f>O13/E13*100</f>
        <v>41.5349277317843</v>
      </c>
      <c r="Q13" s="30" t="s">
        <v>27</v>
      </c>
      <c r="T13" s="2"/>
      <c r="U13" s="2"/>
      <c r="Y13" s="1" t="s">
        <v>25</v>
      </c>
      <c r="Z13" s="1" t="s">
        <v>26</v>
      </c>
      <c r="AA13" s="1" t="s">
        <v>22</v>
      </c>
      <c r="AB13" s="21">
        <v>699.61599999999999</v>
      </c>
      <c r="AC13" s="30">
        <v>699.61599999999999</v>
      </c>
      <c r="AD13" s="21">
        <v>427.59199999999998</v>
      </c>
      <c r="AE13" s="21">
        <v>34.162999999999997</v>
      </c>
      <c r="AF13" s="21">
        <v>220.07599999999999</v>
      </c>
      <c r="AG13" s="30">
        <v>408.32799999999997</v>
      </c>
      <c r="AH13" s="30"/>
      <c r="AI13" s="30"/>
      <c r="AJ13" s="30"/>
      <c r="AK13" s="30"/>
      <c r="AL13" s="30">
        <v>1090.1590000000001</v>
      </c>
      <c r="AM13" s="30">
        <v>390.54300000000012</v>
      </c>
      <c r="AN13" s="31">
        <v>55.822479760325677</v>
      </c>
      <c r="BB13" s="118"/>
      <c r="BD13" s="118" t="s">
        <v>269</v>
      </c>
    </row>
    <row r="14" spans="1:56" ht="30.75" customHeight="1">
      <c r="A14" s="66" t="s">
        <v>28</v>
      </c>
      <c r="B14" s="23" t="s">
        <v>29</v>
      </c>
      <c r="C14" s="24" t="s">
        <v>22</v>
      </c>
      <c r="D14" s="26">
        <v>593.66999999999996</v>
      </c>
      <c r="E14" s="26">
        <f t="shared" ref="E14:E78" si="3">D14</f>
        <v>593.66999999999996</v>
      </c>
      <c r="F14" s="26">
        <v>24.414999999999999</v>
      </c>
      <c r="G14" s="26">
        <v>34.128999999999998</v>
      </c>
      <c r="H14" s="26">
        <f>29.464+28.408</f>
        <v>57.872</v>
      </c>
      <c r="I14" s="26">
        <f>222.373+141.688</f>
        <v>364.06099999999998</v>
      </c>
      <c r="J14" s="26"/>
      <c r="K14" s="26"/>
      <c r="L14" s="26"/>
      <c r="M14" s="26"/>
      <c r="N14" s="27">
        <v>766.90899999999999</v>
      </c>
      <c r="O14" s="28">
        <f t="shared" si="2"/>
        <v>173.23900000000003</v>
      </c>
      <c r="P14" s="29">
        <f>O14/E14*100</f>
        <v>29.1810264962016</v>
      </c>
      <c r="Q14" s="1" t="s">
        <v>30</v>
      </c>
      <c r="T14" s="2"/>
      <c r="U14" s="2"/>
      <c r="Y14" s="1" t="s">
        <v>28</v>
      </c>
      <c r="Z14" s="1" t="s">
        <v>29</v>
      </c>
      <c r="AA14" s="1" t="s">
        <v>22</v>
      </c>
      <c r="AB14" s="30">
        <v>593.66999999999996</v>
      </c>
      <c r="AC14" s="30">
        <v>593.66999999999996</v>
      </c>
      <c r="AD14" s="30">
        <v>46.796999999999997</v>
      </c>
      <c r="AE14" s="30">
        <v>1353.817</v>
      </c>
      <c r="AF14" s="30">
        <v>19.152000000000001</v>
      </c>
      <c r="AG14" s="30">
        <v>141.68799999999999</v>
      </c>
      <c r="AH14" s="30"/>
      <c r="AI14" s="30"/>
      <c r="AJ14" s="30"/>
      <c r="AK14" s="30"/>
      <c r="AL14" s="30">
        <v>1561.4540000000002</v>
      </c>
      <c r="AM14" s="30">
        <v>967.78400000000022</v>
      </c>
      <c r="AN14" s="31">
        <v>163.01716441794269</v>
      </c>
      <c r="BB14" s="118"/>
      <c r="BD14" s="123" t="s">
        <v>272</v>
      </c>
    </row>
    <row r="15" spans="1:56">
      <c r="A15" s="22" t="s">
        <v>31</v>
      </c>
      <c r="B15" s="23" t="s">
        <v>32</v>
      </c>
      <c r="C15" s="24" t="s">
        <v>22</v>
      </c>
      <c r="D15" s="26">
        <v>2978.2759999999998</v>
      </c>
      <c r="E15" s="26">
        <f t="shared" si="3"/>
        <v>2978.2759999999998</v>
      </c>
      <c r="F15" s="26">
        <f>F16</f>
        <v>1033.5330000000001</v>
      </c>
      <c r="G15" s="26">
        <f>G16</f>
        <v>1673.6309999999999</v>
      </c>
      <c r="H15" s="26">
        <f>H16</f>
        <v>385.178</v>
      </c>
      <c r="I15" s="26">
        <f>I16</f>
        <v>0</v>
      </c>
      <c r="J15" s="26"/>
      <c r="K15" s="26"/>
      <c r="L15" s="26"/>
      <c r="M15" s="26"/>
      <c r="N15" s="27">
        <v>3561.116</v>
      </c>
      <c r="O15" s="28">
        <f t="shared" si="2"/>
        <v>582.84000000000015</v>
      </c>
      <c r="P15" s="29">
        <f t="shared" ref="P15:P76" si="4">O15/E15*100</f>
        <v>19.569710799133464</v>
      </c>
      <c r="Y15" s="1" t="s">
        <v>31</v>
      </c>
      <c r="Z15" s="1" t="s">
        <v>32</v>
      </c>
      <c r="AA15" s="1" t="s">
        <v>22</v>
      </c>
      <c r="AB15" s="30">
        <v>2978.2759999999998</v>
      </c>
      <c r="AC15" s="30">
        <v>2978.2759999999998</v>
      </c>
      <c r="AD15" s="21">
        <v>901.09899999999993</v>
      </c>
      <c r="AE15" s="21">
        <v>1946.364</v>
      </c>
      <c r="AF15" s="30">
        <v>434.36799999999999</v>
      </c>
      <c r="AG15" s="30">
        <v>417.39499999999998</v>
      </c>
      <c r="AH15" s="30"/>
      <c r="AI15" s="30"/>
      <c r="AJ15" s="30">
        <v>16.591999999999999</v>
      </c>
      <c r="AK15" s="30"/>
      <c r="AL15" s="30">
        <v>3715.8179999999998</v>
      </c>
      <c r="AM15" s="30">
        <v>737.54199999999992</v>
      </c>
      <c r="AN15" s="31">
        <v>24.764058132960145</v>
      </c>
      <c r="BB15" s="118"/>
      <c r="BD15" s="118" t="s">
        <v>271</v>
      </c>
    </row>
    <row r="16" spans="1:56" hidden="1">
      <c r="A16" s="22"/>
      <c r="B16" s="23"/>
      <c r="C16" s="24" t="s">
        <v>22</v>
      </c>
      <c r="D16" s="26">
        <v>2978.2759999999998</v>
      </c>
      <c r="E16" s="26">
        <f>D16</f>
        <v>2978.2759999999998</v>
      </c>
      <c r="F16" s="26">
        <f>F17+F24+F27</f>
        <v>1033.5330000000001</v>
      </c>
      <c r="G16" s="26">
        <f>G17+G24+G27</f>
        <v>1673.6309999999999</v>
      </c>
      <c r="H16" s="26">
        <f>H17+H24+H27</f>
        <v>385.178</v>
      </c>
      <c r="I16" s="26"/>
      <c r="J16" s="26"/>
      <c r="K16" s="26"/>
      <c r="L16" s="26"/>
      <c r="M16" s="26"/>
      <c r="N16" s="27">
        <f>N15</f>
        <v>3561.116</v>
      </c>
      <c r="O16" s="28">
        <f t="shared" si="2"/>
        <v>582.84000000000015</v>
      </c>
      <c r="P16" s="29">
        <f t="shared" si="4"/>
        <v>19.569710799133464</v>
      </c>
      <c r="R16" s="30"/>
      <c r="T16" s="2"/>
      <c r="U16" s="2"/>
      <c r="AA16" s="1" t="s">
        <v>22</v>
      </c>
      <c r="AB16" s="30">
        <v>2978.2759999999998</v>
      </c>
      <c r="AC16" s="30">
        <v>2978.2759999999998</v>
      </c>
      <c r="AD16" s="30">
        <v>0</v>
      </c>
      <c r="AE16" s="30">
        <v>0</v>
      </c>
      <c r="AF16" s="30">
        <v>0</v>
      </c>
      <c r="AG16" s="30"/>
      <c r="AH16" s="30"/>
      <c r="AI16" s="30"/>
      <c r="AJ16" s="30"/>
      <c r="AK16" s="30"/>
      <c r="AL16" s="30">
        <v>0</v>
      </c>
      <c r="AM16" s="30">
        <v>-2978.2759999999998</v>
      </c>
      <c r="AN16" s="31">
        <v>-100</v>
      </c>
      <c r="BB16" s="118"/>
      <c r="BD16" s="118" t="s">
        <v>271</v>
      </c>
    </row>
    <row r="17" spans="1:56">
      <c r="A17" s="22" t="s">
        <v>33</v>
      </c>
      <c r="B17" s="23" t="s">
        <v>34</v>
      </c>
      <c r="C17" s="24" t="s">
        <v>22</v>
      </c>
      <c r="D17" s="26">
        <v>1887.7650000000001</v>
      </c>
      <c r="E17" s="26">
        <f>D17</f>
        <v>1887.7650000000001</v>
      </c>
      <c r="F17" s="26">
        <f>F18+F21</f>
        <v>762.20700000000011</v>
      </c>
      <c r="G17" s="26">
        <f>G18+G21</f>
        <v>1203.433</v>
      </c>
      <c r="H17" s="26">
        <f>H18+H21</f>
        <v>371.20699999999999</v>
      </c>
      <c r="I17" s="26"/>
      <c r="J17" s="26"/>
      <c r="K17" s="26"/>
      <c r="L17" s="26"/>
      <c r="M17" s="26"/>
      <c r="N17" s="27">
        <v>2291.1320000000001</v>
      </c>
      <c r="O17" s="28">
        <f t="shared" si="2"/>
        <v>403.36699999999996</v>
      </c>
      <c r="P17" s="29">
        <f t="shared" si="4"/>
        <v>21.367437154518701</v>
      </c>
      <c r="Q17" s="30"/>
      <c r="Y17" s="1" t="s">
        <v>33</v>
      </c>
      <c r="Z17" s="1" t="s">
        <v>34</v>
      </c>
      <c r="AA17" s="1" t="s">
        <v>22</v>
      </c>
      <c r="AB17" s="30">
        <v>1887.7650000000001</v>
      </c>
      <c r="AC17" s="30">
        <v>1887.7650000000001</v>
      </c>
      <c r="AD17" s="30">
        <v>0</v>
      </c>
      <c r="AE17" s="30">
        <v>0</v>
      </c>
      <c r="AF17" s="30">
        <v>0</v>
      </c>
      <c r="AG17" s="30"/>
      <c r="AH17" s="30"/>
      <c r="AI17" s="30"/>
      <c r="AJ17" s="30"/>
      <c r="AK17" s="30"/>
      <c r="AL17" s="30">
        <v>0</v>
      </c>
      <c r="AM17" s="30">
        <v>-1887.7650000000001</v>
      </c>
      <c r="AN17" s="31">
        <v>-100</v>
      </c>
      <c r="BB17" s="118"/>
      <c r="BC17" s="1" t="s">
        <v>264</v>
      </c>
      <c r="BD17" s="118" t="s">
        <v>271</v>
      </c>
    </row>
    <row r="18" spans="1:56" hidden="1">
      <c r="A18" s="22"/>
      <c r="B18" s="23" t="s">
        <v>35</v>
      </c>
      <c r="C18" s="24" t="s">
        <v>22</v>
      </c>
      <c r="D18" s="26">
        <v>920</v>
      </c>
      <c r="E18" s="26">
        <f t="shared" si="3"/>
        <v>920</v>
      </c>
      <c r="F18" s="25">
        <f>644.907-150-0.003</f>
        <v>494.90400000000005</v>
      </c>
      <c r="G18" s="25">
        <v>877.27200000000005</v>
      </c>
      <c r="H18" s="25">
        <v>371.20699999999999</v>
      </c>
      <c r="I18" s="26"/>
      <c r="J18" s="26"/>
      <c r="K18" s="26"/>
      <c r="L18" s="26"/>
      <c r="M18" s="26"/>
      <c r="N18" s="27">
        <f>SUM(F18:M18)</f>
        <v>1743.3830000000003</v>
      </c>
      <c r="O18" s="28">
        <f t="shared" si="2"/>
        <v>823.38300000000027</v>
      </c>
      <c r="P18" s="29">
        <f t="shared" si="4"/>
        <v>89.49815217391307</v>
      </c>
      <c r="Q18" s="30"/>
      <c r="T18" s="2"/>
      <c r="U18" s="2"/>
      <c r="Z18" s="1" t="s">
        <v>35</v>
      </c>
      <c r="AA18" s="1" t="s">
        <v>22</v>
      </c>
      <c r="AB18" s="30">
        <v>920</v>
      </c>
      <c r="AC18" s="30">
        <v>920</v>
      </c>
      <c r="AD18" s="21"/>
      <c r="AE18" s="21"/>
      <c r="AF18" s="21"/>
      <c r="AG18" s="30"/>
      <c r="AH18" s="30"/>
      <c r="AI18" s="30"/>
      <c r="AJ18" s="30"/>
      <c r="AK18" s="30"/>
      <c r="AL18" s="30">
        <v>0</v>
      </c>
      <c r="AM18" s="30">
        <v>-920</v>
      </c>
      <c r="AN18" s="31">
        <v>-100</v>
      </c>
      <c r="BB18" s="118"/>
      <c r="BD18" s="118"/>
    </row>
    <row r="19" spans="1:56" s="2" customFormat="1" hidden="1">
      <c r="A19" s="32"/>
      <c r="B19" s="33" t="s">
        <v>36</v>
      </c>
      <c r="C19" s="34" t="s">
        <v>37</v>
      </c>
      <c r="D19" s="35">
        <v>9</v>
      </c>
      <c r="E19" s="36">
        <v>9000</v>
      </c>
      <c r="F19" s="35">
        <f>F18/F20*100</f>
        <v>484.15574251614169</v>
      </c>
      <c r="G19" s="35">
        <f>G18/G20*100</f>
        <v>858.21952651144591</v>
      </c>
      <c r="H19" s="35">
        <f>H18/H20*100</f>
        <v>363.14517706906668</v>
      </c>
      <c r="I19" s="35"/>
      <c r="J19" s="35"/>
      <c r="K19" s="35"/>
      <c r="L19" s="35"/>
      <c r="M19" s="35"/>
      <c r="N19" s="27">
        <v>15337</v>
      </c>
      <c r="O19" s="37">
        <f t="shared" si="2"/>
        <v>6337</v>
      </c>
      <c r="P19" s="29"/>
      <c r="Q19" s="2" t="s">
        <v>38</v>
      </c>
      <c r="Z19" s="2" t="s">
        <v>36</v>
      </c>
      <c r="AA19" s="2" t="s">
        <v>37</v>
      </c>
      <c r="AB19" s="38">
        <v>9000</v>
      </c>
      <c r="AC19" s="38">
        <v>9000</v>
      </c>
      <c r="AD19" s="38">
        <v>0</v>
      </c>
      <c r="AE19" s="38">
        <v>0</v>
      </c>
      <c r="AF19" s="38">
        <v>0</v>
      </c>
      <c r="AG19" s="38"/>
      <c r="AH19" s="38"/>
      <c r="AI19" s="38"/>
      <c r="AJ19" s="38"/>
      <c r="AK19" s="38"/>
      <c r="AL19" s="38">
        <v>0</v>
      </c>
      <c r="AM19" s="39">
        <v>-9000</v>
      </c>
      <c r="AN19" s="40">
        <v>-100</v>
      </c>
      <c r="BB19" s="119"/>
      <c r="BD19" s="119"/>
    </row>
    <row r="20" spans="1:56" s="2" customFormat="1" hidden="1">
      <c r="A20" s="32"/>
      <c r="B20" s="33" t="s">
        <v>39</v>
      </c>
      <c r="C20" s="34" t="s">
        <v>40</v>
      </c>
      <c r="D20" s="41">
        <v>102.22</v>
      </c>
      <c r="E20" s="26">
        <f t="shared" si="3"/>
        <v>102.22</v>
      </c>
      <c r="F20" s="41">
        <v>102.22</v>
      </c>
      <c r="G20" s="41">
        <v>102.22</v>
      </c>
      <c r="H20" s="41">
        <v>102.22</v>
      </c>
      <c r="I20" s="41"/>
      <c r="J20" s="41"/>
      <c r="K20" s="41"/>
      <c r="L20" s="41"/>
      <c r="M20" s="41"/>
      <c r="N20" s="27">
        <v>113.67</v>
      </c>
      <c r="O20" s="37">
        <f t="shared" si="2"/>
        <v>11.450000000000003</v>
      </c>
      <c r="P20" s="29">
        <f t="shared" si="4"/>
        <v>11.201330463705736</v>
      </c>
      <c r="R20" s="39"/>
      <c r="T20" s="1"/>
      <c r="U20" s="1"/>
      <c r="Z20" s="2" t="s">
        <v>39</v>
      </c>
      <c r="AA20" s="2" t="s">
        <v>40</v>
      </c>
      <c r="AB20" s="39">
        <v>102.22</v>
      </c>
      <c r="AC20" s="39">
        <v>102.22</v>
      </c>
      <c r="AD20" s="39">
        <v>120.26</v>
      </c>
      <c r="AE20" s="39">
        <v>120.26</v>
      </c>
      <c r="AF20" s="39">
        <v>120.26</v>
      </c>
      <c r="AG20" s="39"/>
      <c r="AH20" s="39"/>
      <c r="AI20" s="39"/>
      <c r="AJ20" s="39"/>
      <c r="AK20" s="39"/>
      <c r="AL20" s="39">
        <v>120.26</v>
      </c>
      <c r="AM20" s="39">
        <v>18.040000000000006</v>
      </c>
      <c r="AN20" s="40">
        <v>17.648209743690074</v>
      </c>
      <c r="BB20" s="119"/>
      <c r="BD20" s="119"/>
    </row>
    <row r="21" spans="1:56" hidden="1">
      <c r="A21" s="22"/>
      <c r="B21" s="23" t="s">
        <v>41</v>
      </c>
      <c r="C21" s="24" t="s">
        <v>22</v>
      </c>
      <c r="D21" s="26">
        <v>967.82</v>
      </c>
      <c r="E21" s="26">
        <f t="shared" si="3"/>
        <v>967.82</v>
      </c>
      <c r="F21" s="26">
        <v>267.303</v>
      </c>
      <c r="G21" s="26">
        <f>174.642+201.519-50</f>
        <v>326.161</v>
      </c>
      <c r="H21" s="26">
        <v>0</v>
      </c>
      <c r="I21" s="26"/>
      <c r="J21" s="26"/>
      <c r="K21" s="26"/>
      <c r="L21" s="26"/>
      <c r="M21" s="26"/>
      <c r="N21" s="27">
        <f t="shared" ref="N21:N40" si="5">SUM(F21:M21)</f>
        <v>593.46399999999994</v>
      </c>
      <c r="O21" s="28">
        <f t="shared" si="2"/>
        <v>-374.35600000000011</v>
      </c>
      <c r="P21" s="29">
        <f t="shared" si="4"/>
        <v>-38.680333119795016</v>
      </c>
      <c r="Q21" s="1" t="s">
        <v>42</v>
      </c>
      <c r="R21" s="30"/>
      <c r="T21" s="2"/>
      <c r="U21" s="2"/>
      <c r="Z21" s="1" t="s">
        <v>41</v>
      </c>
      <c r="AA21" s="1" t="s">
        <v>22</v>
      </c>
      <c r="AB21" s="30">
        <v>967.82</v>
      </c>
      <c r="AC21" s="30">
        <v>967.82</v>
      </c>
      <c r="AD21" s="30"/>
      <c r="AE21" s="30"/>
      <c r="AF21" s="30"/>
      <c r="AG21" s="30"/>
      <c r="AH21" s="30"/>
      <c r="AI21" s="30"/>
      <c r="AJ21" s="30"/>
      <c r="AK21" s="30"/>
      <c r="AL21" s="30">
        <v>0</v>
      </c>
      <c r="AM21" s="30">
        <v>-967.82</v>
      </c>
      <c r="AN21" s="31">
        <v>-100</v>
      </c>
      <c r="BB21" s="118"/>
      <c r="BD21" s="118"/>
    </row>
    <row r="22" spans="1:56" s="2" customFormat="1" hidden="1">
      <c r="A22" s="32"/>
      <c r="B22" s="33" t="s">
        <v>36</v>
      </c>
      <c r="C22" s="34" t="s">
        <v>37</v>
      </c>
      <c r="D22" s="41">
        <v>12.18</v>
      </c>
      <c r="E22" s="36">
        <v>12180</v>
      </c>
      <c r="F22" s="35"/>
      <c r="G22" s="35"/>
      <c r="H22" s="35"/>
      <c r="I22" s="35"/>
      <c r="J22" s="35"/>
      <c r="K22" s="35"/>
      <c r="L22" s="35"/>
      <c r="M22" s="35"/>
      <c r="N22" s="42">
        <v>7611</v>
      </c>
      <c r="O22" s="37">
        <f t="shared" si="2"/>
        <v>-4569</v>
      </c>
      <c r="P22" s="29"/>
      <c r="Z22" s="2" t="s">
        <v>36</v>
      </c>
      <c r="AA22" s="2" t="s">
        <v>37</v>
      </c>
      <c r="AB22" s="38">
        <v>12180</v>
      </c>
      <c r="AC22" s="38">
        <v>12180</v>
      </c>
      <c r="AD22" s="38"/>
      <c r="AE22" s="38"/>
      <c r="AF22" s="38"/>
      <c r="AG22" s="38"/>
      <c r="AH22" s="38"/>
      <c r="AI22" s="38"/>
      <c r="AJ22" s="38"/>
      <c r="AK22" s="38"/>
      <c r="AL22" s="38">
        <v>0</v>
      </c>
      <c r="AM22" s="39">
        <v>-12180</v>
      </c>
      <c r="AN22" s="40">
        <v>-100</v>
      </c>
      <c r="BB22" s="119"/>
      <c r="BD22" s="119"/>
    </row>
    <row r="23" spans="1:56" s="2" customFormat="1" hidden="1">
      <c r="A23" s="32"/>
      <c r="B23" s="33" t="s">
        <v>39</v>
      </c>
      <c r="C23" s="34" t="s">
        <v>40</v>
      </c>
      <c r="D23" s="41">
        <v>79.459999999999994</v>
      </c>
      <c r="E23" s="26">
        <f t="shared" si="3"/>
        <v>79.459999999999994</v>
      </c>
      <c r="F23" s="41"/>
      <c r="G23" s="41"/>
      <c r="H23" s="41"/>
      <c r="I23" s="41"/>
      <c r="J23" s="41"/>
      <c r="K23" s="41"/>
      <c r="L23" s="41"/>
      <c r="M23" s="41"/>
      <c r="N23" s="27">
        <v>77.97</v>
      </c>
      <c r="O23" s="37">
        <f t="shared" si="2"/>
        <v>-1.4899999999999949</v>
      </c>
      <c r="P23" s="29">
        <f t="shared" si="4"/>
        <v>-1.8751573118550149</v>
      </c>
      <c r="T23" s="1"/>
      <c r="U23" s="1"/>
      <c r="Z23" s="2" t="s">
        <v>39</v>
      </c>
      <c r="AA23" s="2" t="s">
        <v>40</v>
      </c>
      <c r="AB23" s="39">
        <v>79.459999999999994</v>
      </c>
      <c r="AC23" s="39">
        <v>79.459999999999994</v>
      </c>
      <c r="AD23" s="39">
        <v>79.459999999999994</v>
      </c>
      <c r="AE23" s="39">
        <v>79.459999999999994</v>
      </c>
      <c r="AF23" s="39"/>
      <c r="AG23" s="39"/>
      <c r="AH23" s="39"/>
      <c r="AI23" s="39"/>
      <c r="AJ23" s="39"/>
      <c r="AK23" s="39"/>
      <c r="AL23" s="39">
        <v>79.459999999999994</v>
      </c>
      <c r="AM23" s="39">
        <v>0</v>
      </c>
      <c r="AN23" s="40">
        <v>0</v>
      </c>
      <c r="BB23" s="119"/>
      <c r="BD23" s="119"/>
    </row>
    <row r="24" spans="1:56">
      <c r="A24" s="22" t="s">
        <v>43</v>
      </c>
      <c r="B24" s="23" t="s">
        <v>44</v>
      </c>
      <c r="C24" s="24" t="s">
        <v>22</v>
      </c>
      <c r="D24" s="26">
        <v>917.26</v>
      </c>
      <c r="E24" s="26">
        <f t="shared" si="3"/>
        <v>917.26</v>
      </c>
      <c r="F24" s="26">
        <v>60.796999999999997</v>
      </c>
      <c r="G24" s="26">
        <f>134.001+149.309-50</f>
        <v>233.31</v>
      </c>
      <c r="H24" s="26"/>
      <c r="I24" s="26"/>
      <c r="J24" s="26"/>
      <c r="K24" s="26"/>
      <c r="L24" s="26"/>
      <c r="M24" s="26"/>
      <c r="N24" s="27">
        <v>917.56899999999996</v>
      </c>
      <c r="O24" s="28">
        <f t="shared" si="2"/>
        <v>0.30899999999996908</v>
      </c>
      <c r="P24" s="29">
        <f t="shared" si="4"/>
        <v>3.3687286047573109E-2</v>
      </c>
      <c r="Q24" s="1" t="s">
        <v>45</v>
      </c>
      <c r="T24" s="2"/>
      <c r="U24" s="2"/>
      <c r="Y24" s="1" t="s">
        <v>43</v>
      </c>
      <c r="Z24" s="1" t="s">
        <v>44</v>
      </c>
      <c r="AA24" s="1" t="s">
        <v>22</v>
      </c>
      <c r="AB24" s="30">
        <v>917.26</v>
      </c>
      <c r="AC24" s="30">
        <v>917.26</v>
      </c>
      <c r="AD24" s="30"/>
      <c r="AE24" s="30"/>
      <c r="AF24" s="30"/>
      <c r="AG24" s="30"/>
      <c r="AH24" s="30"/>
      <c r="AI24" s="30"/>
      <c r="AJ24" s="30"/>
      <c r="AK24" s="30"/>
      <c r="AL24" s="30">
        <v>0</v>
      </c>
      <c r="AM24" s="30">
        <v>-917.26</v>
      </c>
      <c r="AN24" s="31">
        <v>-100</v>
      </c>
      <c r="BB24" s="118"/>
      <c r="BC24" s="1" t="s">
        <v>260</v>
      </c>
      <c r="BD24" s="118"/>
    </row>
    <row r="25" spans="1:56" s="2" customFormat="1" hidden="1">
      <c r="A25" s="32"/>
      <c r="B25" s="33" t="s">
        <v>36</v>
      </c>
      <c r="C25" s="34" t="s">
        <v>37</v>
      </c>
      <c r="D25" s="35">
        <v>9790</v>
      </c>
      <c r="E25" s="26">
        <f t="shared" si="3"/>
        <v>9790</v>
      </c>
      <c r="F25" s="35"/>
      <c r="G25" s="35"/>
      <c r="H25" s="35"/>
      <c r="I25" s="35"/>
      <c r="J25" s="35"/>
      <c r="K25" s="35"/>
      <c r="L25" s="35"/>
      <c r="M25" s="35"/>
      <c r="N25" s="27">
        <f t="shared" si="5"/>
        <v>0</v>
      </c>
      <c r="O25" s="37">
        <f t="shared" si="2"/>
        <v>-9790</v>
      </c>
      <c r="P25" s="29"/>
      <c r="R25" s="38"/>
      <c r="S25" s="39"/>
      <c r="Z25" s="2" t="s">
        <v>36</v>
      </c>
      <c r="AA25" s="2" t="s">
        <v>37</v>
      </c>
      <c r="AB25" s="38">
        <v>9790</v>
      </c>
      <c r="AC25" s="39">
        <v>9790</v>
      </c>
      <c r="AD25" s="38"/>
      <c r="AE25" s="38"/>
      <c r="AF25" s="38"/>
      <c r="AG25" s="38"/>
      <c r="AH25" s="38"/>
      <c r="AI25" s="38"/>
      <c r="AJ25" s="38"/>
      <c r="AK25" s="38"/>
      <c r="AL25" s="39">
        <v>0</v>
      </c>
      <c r="AM25" s="39">
        <v>-9790</v>
      </c>
      <c r="AN25" s="40">
        <v>-100</v>
      </c>
      <c r="BB25" s="119"/>
      <c r="BD25" s="119"/>
    </row>
    <row r="26" spans="1:56" s="2" customFormat="1" hidden="1">
      <c r="A26" s="32"/>
      <c r="B26" s="33" t="s">
        <v>39</v>
      </c>
      <c r="C26" s="34" t="s">
        <v>40</v>
      </c>
      <c r="D26" s="41">
        <v>93.69</v>
      </c>
      <c r="E26" s="26">
        <f t="shared" si="3"/>
        <v>93.69</v>
      </c>
      <c r="F26" s="41"/>
      <c r="G26" s="41"/>
      <c r="H26" s="41"/>
      <c r="I26" s="41"/>
      <c r="J26" s="41"/>
      <c r="K26" s="41"/>
      <c r="L26" s="41"/>
      <c r="M26" s="41"/>
      <c r="N26" s="27">
        <v>103.34</v>
      </c>
      <c r="O26" s="37">
        <f t="shared" si="2"/>
        <v>9.6500000000000057</v>
      </c>
      <c r="P26" s="29">
        <f t="shared" si="4"/>
        <v>10.299925285516071</v>
      </c>
      <c r="R26" s="39"/>
      <c r="S26" s="39"/>
      <c r="T26" s="1"/>
      <c r="U26" s="1"/>
      <c r="Z26" s="2" t="s">
        <v>39</v>
      </c>
      <c r="AA26" s="2" t="s">
        <v>40</v>
      </c>
      <c r="AB26" s="39">
        <v>93.69</v>
      </c>
      <c r="AC26" s="39">
        <v>93.69</v>
      </c>
      <c r="AD26" s="39"/>
      <c r="AE26" s="39"/>
      <c r="AF26" s="39"/>
      <c r="AG26" s="39"/>
      <c r="AH26" s="39"/>
      <c r="AI26" s="39"/>
      <c r="AJ26" s="39"/>
      <c r="AK26" s="39"/>
      <c r="AL26" s="39">
        <v>0</v>
      </c>
      <c r="AM26" s="39">
        <v>-93.69</v>
      </c>
      <c r="AN26" s="40">
        <v>-100</v>
      </c>
      <c r="BB26" s="119"/>
      <c r="BD26" s="119"/>
    </row>
    <row r="27" spans="1:56" ht="31.5" customHeight="1">
      <c r="A27" s="66" t="s">
        <v>46</v>
      </c>
      <c r="B27" s="23" t="s">
        <v>47</v>
      </c>
      <c r="C27" s="24" t="s">
        <v>22</v>
      </c>
      <c r="D27" s="26">
        <v>173.25200000000001</v>
      </c>
      <c r="E27" s="26">
        <f t="shared" si="3"/>
        <v>173.25200000000001</v>
      </c>
      <c r="F27" s="26">
        <v>210.529</v>
      </c>
      <c r="G27" s="26">
        <f>102.414+138.784-4.31</f>
        <v>236.88799999999998</v>
      </c>
      <c r="H27" s="26">
        <v>13.971</v>
      </c>
      <c r="I27" s="26"/>
      <c r="J27" s="26"/>
      <c r="K27" s="26"/>
      <c r="L27" s="26"/>
      <c r="M27" s="26"/>
      <c r="N27" s="27">
        <v>352.41500000000002</v>
      </c>
      <c r="O27" s="28">
        <f t="shared" si="2"/>
        <v>179.16300000000001</v>
      </c>
      <c r="P27" s="29">
        <f t="shared" si="4"/>
        <v>103.41179322605223</v>
      </c>
      <c r="T27" s="2"/>
      <c r="U27" s="2"/>
      <c r="Y27" s="1" t="s">
        <v>46</v>
      </c>
      <c r="Z27" s="1" t="s">
        <v>47</v>
      </c>
      <c r="AA27" s="1" t="s">
        <v>22</v>
      </c>
      <c r="AB27" s="30">
        <v>173.25200000000001</v>
      </c>
      <c r="AC27" s="30">
        <v>173.25200000000001</v>
      </c>
      <c r="AD27" s="30"/>
      <c r="AE27" s="30"/>
      <c r="AF27" s="30"/>
      <c r="AG27" s="30"/>
      <c r="AH27" s="30"/>
      <c r="AI27" s="30"/>
      <c r="AJ27" s="30"/>
      <c r="AK27" s="30"/>
      <c r="AL27" s="30">
        <v>0</v>
      </c>
      <c r="AM27" s="30">
        <v>-173.25200000000001</v>
      </c>
      <c r="AN27" s="31">
        <v>-100</v>
      </c>
      <c r="BB27" s="118"/>
      <c r="BC27" s="1" t="s">
        <v>264</v>
      </c>
      <c r="BD27" s="123" t="s">
        <v>279</v>
      </c>
    </row>
    <row r="28" spans="1:56" s="2" customFormat="1" hidden="1">
      <c r="A28" s="32"/>
      <c r="B28" s="33" t="s">
        <v>36</v>
      </c>
      <c r="C28" s="34" t="s">
        <v>37</v>
      </c>
      <c r="D28" s="41">
        <v>256.89999999999998</v>
      </c>
      <c r="E28" s="26">
        <f t="shared" si="3"/>
        <v>256.89999999999998</v>
      </c>
      <c r="F28" s="35"/>
      <c r="G28" s="35"/>
      <c r="H28" s="35"/>
      <c r="I28" s="35"/>
      <c r="J28" s="35"/>
      <c r="K28" s="35"/>
      <c r="L28" s="35"/>
      <c r="M28" s="35"/>
      <c r="N28" s="27">
        <f>N30</f>
        <v>645.32000000000005</v>
      </c>
      <c r="O28" s="37">
        <f t="shared" si="2"/>
        <v>388.42000000000007</v>
      </c>
      <c r="P28" s="29"/>
      <c r="Z28" s="2" t="s">
        <v>36</v>
      </c>
      <c r="AA28" s="2" t="s">
        <v>37</v>
      </c>
      <c r="AB28" s="39">
        <v>256.89999999999998</v>
      </c>
      <c r="AC28" s="39">
        <v>256.89999999999998</v>
      </c>
      <c r="AD28" s="38"/>
      <c r="AE28" s="38"/>
      <c r="AF28" s="38"/>
      <c r="AG28" s="38"/>
      <c r="AH28" s="38"/>
      <c r="AI28" s="38"/>
      <c r="AJ28" s="38"/>
      <c r="AK28" s="38"/>
      <c r="AL28" s="39">
        <v>0</v>
      </c>
      <c r="AM28" s="39">
        <v>-256.89999999999998</v>
      </c>
      <c r="AN28" s="40">
        <v>-100</v>
      </c>
      <c r="BB28" s="119"/>
      <c r="BD28" s="119"/>
    </row>
    <row r="29" spans="1:56" hidden="1">
      <c r="A29" s="43"/>
      <c r="B29" s="23" t="s">
        <v>48</v>
      </c>
      <c r="C29" s="24" t="s">
        <v>22</v>
      </c>
      <c r="D29" s="26">
        <v>128.22</v>
      </c>
      <c r="E29" s="26">
        <f t="shared" si="3"/>
        <v>128.22</v>
      </c>
      <c r="F29" s="26"/>
      <c r="G29" s="26"/>
      <c r="H29" s="26"/>
      <c r="I29" s="26"/>
      <c r="J29" s="26"/>
      <c r="K29" s="26"/>
      <c r="L29" s="26"/>
      <c r="M29" s="26"/>
      <c r="N29" s="27">
        <f>N30*N31/1000</f>
        <v>461.40380000000005</v>
      </c>
      <c r="O29" s="28">
        <f t="shared" si="2"/>
        <v>333.18380000000002</v>
      </c>
      <c r="P29" s="29">
        <f t="shared" si="4"/>
        <v>259.85322102636098</v>
      </c>
      <c r="S29" s="2"/>
      <c r="T29" s="2"/>
      <c r="U29" s="2"/>
      <c r="V29" s="2"/>
      <c r="W29" s="2"/>
      <c r="Z29" s="1" t="s">
        <v>48</v>
      </c>
      <c r="AA29" s="1" t="s">
        <v>22</v>
      </c>
      <c r="AB29" s="30">
        <v>128.22</v>
      </c>
      <c r="AC29" s="30">
        <v>128.22</v>
      </c>
      <c r="AD29" s="30"/>
      <c r="AE29" s="30"/>
      <c r="AF29" s="30"/>
      <c r="AG29" s="30"/>
      <c r="AH29" s="30"/>
      <c r="AI29" s="30"/>
      <c r="AJ29" s="30"/>
      <c r="AK29" s="30"/>
      <c r="AL29" s="30">
        <v>0</v>
      </c>
      <c r="AM29" s="30">
        <v>-128.22</v>
      </c>
      <c r="AN29" s="31">
        <v>-100</v>
      </c>
      <c r="BB29" s="118"/>
      <c r="BD29" s="118"/>
    </row>
    <row r="30" spans="1:56" s="2" customFormat="1" hidden="1">
      <c r="A30" s="44"/>
      <c r="B30" s="33" t="s">
        <v>36</v>
      </c>
      <c r="C30" s="34" t="s">
        <v>37</v>
      </c>
      <c r="D30" s="45">
        <v>179.5</v>
      </c>
      <c r="E30" s="26">
        <f t="shared" si="3"/>
        <v>179.5</v>
      </c>
      <c r="F30" s="35"/>
      <c r="G30" s="35"/>
      <c r="H30" s="35"/>
      <c r="I30" s="35"/>
      <c r="J30" s="35"/>
      <c r="K30" s="35"/>
      <c r="L30" s="35"/>
      <c r="M30" s="35"/>
      <c r="N30" s="27">
        <v>645.32000000000005</v>
      </c>
      <c r="O30" s="37">
        <f t="shared" si="2"/>
        <v>465.82000000000005</v>
      </c>
      <c r="P30" s="29"/>
      <c r="S30" s="1"/>
      <c r="T30" s="1"/>
      <c r="U30" s="1"/>
      <c r="V30" s="1"/>
      <c r="W30" s="1"/>
      <c r="Z30" s="2" t="s">
        <v>36</v>
      </c>
      <c r="AA30" s="2" t="s">
        <v>37</v>
      </c>
      <c r="AB30" s="46">
        <v>179.5</v>
      </c>
      <c r="AC30" s="39">
        <v>179.5</v>
      </c>
      <c r="AD30" s="38"/>
      <c r="AE30" s="38"/>
      <c r="AF30" s="38"/>
      <c r="AG30" s="38"/>
      <c r="AH30" s="38"/>
      <c r="AI30" s="38"/>
      <c r="AJ30" s="38"/>
      <c r="AK30" s="38"/>
      <c r="AL30" s="39">
        <v>0</v>
      </c>
      <c r="AM30" s="39">
        <v>-179.5</v>
      </c>
      <c r="AN30" s="40">
        <v>-100</v>
      </c>
      <c r="BB30" s="119"/>
      <c r="BD30" s="119"/>
    </row>
    <row r="31" spans="1:56" s="2" customFormat="1" hidden="1">
      <c r="A31" s="44"/>
      <c r="B31" s="33" t="s">
        <v>39</v>
      </c>
      <c r="C31" s="34" t="s">
        <v>40</v>
      </c>
      <c r="D31" s="47">
        <v>714.3</v>
      </c>
      <c r="E31" s="26">
        <f t="shared" si="3"/>
        <v>714.3</v>
      </c>
      <c r="F31" s="41"/>
      <c r="G31" s="41"/>
      <c r="H31" s="41"/>
      <c r="I31" s="41"/>
      <c r="J31" s="41"/>
      <c r="K31" s="41"/>
      <c r="L31" s="41"/>
      <c r="M31" s="41"/>
      <c r="N31" s="27">
        <v>715</v>
      </c>
      <c r="O31" s="37">
        <f t="shared" si="2"/>
        <v>0.70000000000004547</v>
      </c>
      <c r="P31" s="29">
        <f t="shared" si="4"/>
        <v>9.7998040039205592E-2</v>
      </c>
      <c r="Z31" s="2" t="s">
        <v>39</v>
      </c>
      <c r="AA31" s="2" t="s">
        <v>40</v>
      </c>
      <c r="AB31" s="39">
        <v>714.3</v>
      </c>
      <c r="AC31" s="39">
        <v>714.3</v>
      </c>
      <c r="AD31" s="39"/>
      <c r="AE31" s="39"/>
      <c r="AF31" s="39"/>
      <c r="AG31" s="39"/>
      <c r="AH31" s="39"/>
      <c r="AI31" s="39"/>
      <c r="AJ31" s="39"/>
      <c r="AK31" s="39"/>
      <c r="AL31" s="39">
        <v>0</v>
      </c>
      <c r="AM31" s="39">
        <v>-714.3</v>
      </c>
      <c r="AN31" s="40">
        <v>-100</v>
      </c>
      <c r="BB31" s="119"/>
      <c r="BD31" s="119"/>
    </row>
    <row r="32" spans="1:56" hidden="1">
      <c r="A32" s="43"/>
      <c r="B32" s="48" t="s">
        <v>49</v>
      </c>
      <c r="C32" s="24" t="s">
        <v>22</v>
      </c>
      <c r="D32" s="27">
        <v>34.770000000000003</v>
      </c>
      <c r="E32" s="26">
        <f t="shared" si="3"/>
        <v>34.770000000000003</v>
      </c>
      <c r="F32" s="26"/>
      <c r="G32" s="26"/>
      <c r="H32" s="26"/>
      <c r="I32" s="26"/>
      <c r="J32" s="26"/>
      <c r="K32" s="26"/>
      <c r="L32" s="26"/>
      <c r="M32" s="26"/>
      <c r="N32" s="27">
        <f t="shared" si="5"/>
        <v>0</v>
      </c>
      <c r="O32" s="28">
        <f t="shared" si="2"/>
        <v>-34.770000000000003</v>
      </c>
      <c r="P32" s="29">
        <f t="shared" si="4"/>
        <v>-100</v>
      </c>
      <c r="Q32" s="1" t="s">
        <v>50</v>
      </c>
      <c r="S32" s="2"/>
      <c r="T32" s="2"/>
      <c r="U32" s="2"/>
      <c r="V32" s="2"/>
      <c r="W32" s="2"/>
      <c r="Z32" s="1" t="s">
        <v>49</v>
      </c>
      <c r="AA32" s="1" t="s">
        <v>22</v>
      </c>
      <c r="AB32" s="30">
        <v>34.770000000000003</v>
      </c>
      <c r="AC32" s="30">
        <v>34.770000000000003</v>
      </c>
      <c r="AD32" s="30"/>
      <c r="AE32" s="30"/>
      <c r="AF32" s="30"/>
      <c r="AG32" s="30"/>
      <c r="AH32" s="30"/>
      <c r="AI32" s="30"/>
      <c r="AJ32" s="30"/>
      <c r="AK32" s="30"/>
      <c r="AL32" s="30">
        <v>0</v>
      </c>
      <c r="AM32" s="30">
        <v>-34.770000000000003</v>
      </c>
      <c r="AN32" s="31">
        <v>-100</v>
      </c>
      <c r="BB32" s="118"/>
      <c r="BD32" s="118"/>
    </row>
    <row r="33" spans="1:56" s="2" customFormat="1" hidden="1">
      <c r="A33" s="44"/>
      <c r="B33" s="33" t="s">
        <v>36</v>
      </c>
      <c r="C33" s="34" t="s">
        <v>37</v>
      </c>
      <c r="D33" s="47">
        <v>64.900000000000006</v>
      </c>
      <c r="E33" s="26">
        <f t="shared" si="3"/>
        <v>64.900000000000006</v>
      </c>
      <c r="F33" s="35"/>
      <c r="G33" s="35"/>
      <c r="H33" s="35"/>
      <c r="I33" s="35"/>
      <c r="J33" s="35"/>
      <c r="K33" s="35"/>
      <c r="L33" s="35"/>
      <c r="M33" s="35"/>
      <c r="N33" s="27">
        <f t="shared" si="5"/>
        <v>0</v>
      </c>
      <c r="O33" s="37">
        <f t="shared" si="2"/>
        <v>-64.900000000000006</v>
      </c>
      <c r="P33" s="29"/>
      <c r="S33" s="1"/>
      <c r="T33" s="1"/>
      <c r="U33" s="1"/>
      <c r="V33" s="1"/>
      <c r="W33" s="1"/>
      <c r="Z33" s="2" t="s">
        <v>36</v>
      </c>
      <c r="AA33" s="2" t="s">
        <v>37</v>
      </c>
      <c r="AB33" s="39">
        <v>64.900000000000006</v>
      </c>
      <c r="AC33" s="39">
        <v>64.900000000000006</v>
      </c>
      <c r="AD33" s="38"/>
      <c r="AE33" s="38"/>
      <c r="AF33" s="38"/>
      <c r="AG33" s="38"/>
      <c r="AH33" s="38"/>
      <c r="AI33" s="38"/>
      <c r="AJ33" s="38"/>
      <c r="AK33" s="38"/>
      <c r="AL33" s="39">
        <v>0</v>
      </c>
      <c r="AM33" s="39">
        <v>-64.900000000000006</v>
      </c>
      <c r="AN33" s="40">
        <v>-100</v>
      </c>
      <c r="BB33" s="119"/>
      <c r="BD33" s="119"/>
    </row>
    <row r="34" spans="1:56" s="2" customFormat="1" hidden="1">
      <c r="A34" s="44"/>
      <c r="B34" s="33" t="s">
        <v>39</v>
      </c>
      <c r="C34" s="34" t="s">
        <v>40</v>
      </c>
      <c r="D34" s="47">
        <v>535.79999999999995</v>
      </c>
      <c r="E34" s="26">
        <f t="shared" si="3"/>
        <v>535.79999999999995</v>
      </c>
      <c r="F34" s="41"/>
      <c r="G34" s="41"/>
      <c r="H34" s="41"/>
      <c r="I34" s="41"/>
      <c r="J34" s="41"/>
      <c r="K34" s="41"/>
      <c r="L34" s="41"/>
      <c r="M34" s="41"/>
      <c r="N34" s="27">
        <f t="shared" si="5"/>
        <v>0</v>
      </c>
      <c r="O34" s="37">
        <f t="shared" si="2"/>
        <v>-535.79999999999995</v>
      </c>
      <c r="P34" s="29">
        <f t="shared" si="4"/>
        <v>-100</v>
      </c>
      <c r="Z34" s="2" t="s">
        <v>39</v>
      </c>
      <c r="AA34" s="2" t="s">
        <v>40</v>
      </c>
      <c r="AB34" s="39">
        <v>535.79999999999995</v>
      </c>
      <c r="AC34" s="39">
        <v>535.79999999999995</v>
      </c>
      <c r="AD34" s="39"/>
      <c r="AE34" s="39"/>
      <c r="AF34" s="39"/>
      <c r="AG34" s="39"/>
      <c r="AH34" s="39"/>
      <c r="AI34" s="39"/>
      <c r="AJ34" s="39"/>
      <c r="AK34" s="39"/>
      <c r="AL34" s="39">
        <v>0</v>
      </c>
      <c r="AM34" s="39">
        <v>-535.79999999999995</v>
      </c>
      <c r="AN34" s="40">
        <v>-100</v>
      </c>
      <c r="BB34" s="119"/>
      <c r="BD34" s="119"/>
    </row>
    <row r="35" spans="1:56" hidden="1">
      <c r="A35" s="43"/>
      <c r="B35" s="48" t="s">
        <v>51</v>
      </c>
      <c r="C35" s="24" t="s">
        <v>22</v>
      </c>
      <c r="D35" s="27">
        <v>9.7690000000000001</v>
      </c>
      <c r="E35" s="25">
        <f t="shared" si="3"/>
        <v>9.7690000000000001</v>
      </c>
      <c r="F35" s="26"/>
      <c r="G35" s="26"/>
      <c r="H35" s="26"/>
      <c r="I35" s="26"/>
      <c r="J35" s="26"/>
      <c r="K35" s="26"/>
      <c r="L35" s="26"/>
      <c r="M35" s="26"/>
      <c r="N35" s="27">
        <f t="shared" si="5"/>
        <v>0</v>
      </c>
      <c r="O35" s="28">
        <f t="shared" si="2"/>
        <v>-9.7690000000000001</v>
      </c>
      <c r="P35" s="29">
        <f t="shared" si="4"/>
        <v>-100</v>
      </c>
      <c r="S35" s="2"/>
      <c r="T35" s="2"/>
      <c r="U35" s="2"/>
      <c r="V35" s="2"/>
      <c r="W35" s="2"/>
      <c r="Z35" s="1" t="s">
        <v>51</v>
      </c>
      <c r="AA35" s="1" t="s">
        <v>22</v>
      </c>
      <c r="AB35" s="30">
        <v>9.7690000000000001</v>
      </c>
      <c r="AC35" s="30">
        <v>9.7690000000000001</v>
      </c>
      <c r="AD35" s="30"/>
      <c r="AE35" s="30"/>
      <c r="AF35" s="30"/>
      <c r="AG35" s="30"/>
      <c r="AH35" s="30"/>
      <c r="AI35" s="30"/>
      <c r="AJ35" s="30"/>
      <c r="AK35" s="30"/>
      <c r="AL35" s="30">
        <v>0</v>
      </c>
      <c r="AM35" s="30">
        <v>-9.7690000000000001</v>
      </c>
      <c r="AN35" s="31">
        <v>-100</v>
      </c>
      <c r="BB35" s="118"/>
      <c r="BD35" s="118"/>
    </row>
    <row r="36" spans="1:56" s="2" customFormat="1" hidden="1">
      <c r="A36" s="44"/>
      <c r="B36" s="33" t="s">
        <v>36</v>
      </c>
      <c r="C36" s="34" t="s">
        <v>37</v>
      </c>
      <c r="D36" s="45">
        <v>11.5</v>
      </c>
      <c r="E36" s="26">
        <f t="shared" si="3"/>
        <v>11.5</v>
      </c>
      <c r="F36" s="49"/>
      <c r="G36" s="49"/>
      <c r="H36" s="49"/>
      <c r="I36" s="35"/>
      <c r="J36" s="35"/>
      <c r="K36" s="35"/>
      <c r="L36" s="35"/>
      <c r="M36" s="35"/>
      <c r="N36" s="27">
        <f t="shared" si="5"/>
        <v>0</v>
      </c>
      <c r="O36" s="37">
        <f t="shared" si="2"/>
        <v>-11.5</v>
      </c>
      <c r="P36" s="29"/>
      <c r="S36" s="18"/>
      <c r="T36" s="18"/>
      <c r="U36" s="18"/>
      <c r="V36" s="18"/>
      <c r="W36" s="18"/>
      <c r="Z36" s="2" t="s">
        <v>36</v>
      </c>
      <c r="AA36" s="2" t="s">
        <v>37</v>
      </c>
      <c r="AB36" s="46">
        <v>11.5</v>
      </c>
      <c r="AC36" s="39">
        <v>11.5</v>
      </c>
      <c r="AD36" s="46"/>
      <c r="AE36" s="46"/>
      <c r="AF36" s="46"/>
      <c r="AG36" s="38"/>
      <c r="AH36" s="38"/>
      <c r="AI36" s="38"/>
      <c r="AJ36" s="38"/>
      <c r="AK36" s="38"/>
      <c r="AL36" s="39">
        <v>0</v>
      </c>
      <c r="AM36" s="39">
        <v>-11.5</v>
      </c>
      <c r="AN36" s="40">
        <v>-100</v>
      </c>
      <c r="BB36" s="119"/>
      <c r="BD36" s="119"/>
    </row>
    <row r="37" spans="1:56" s="2" customFormat="1" hidden="1">
      <c r="A37" s="44"/>
      <c r="B37" s="33" t="s">
        <v>39</v>
      </c>
      <c r="C37" s="34" t="s">
        <v>40</v>
      </c>
      <c r="D37" s="47">
        <v>851.8</v>
      </c>
      <c r="E37" s="26">
        <f t="shared" si="3"/>
        <v>851.8</v>
      </c>
      <c r="F37" s="41"/>
      <c r="G37" s="41"/>
      <c r="H37" s="41"/>
      <c r="I37" s="41"/>
      <c r="J37" s="41"/>
      <c r="K37" s="41"/>
      <c r="L37" s="41"/>
      <c r="M37" s="41"/>
      <c r="N37" s="27">
        <f t="shared" si="5"/>
        <v>0</v>
      </c>
      <c r="O37" s="37">
        <f t="shared" si="2"/>
        <v>-851.8</v>
      </c>
      <c r="P37" s="29">
        <f t="shared" si="4"/>
        <v>-100</v>
      </c>
      <c r="S37" s="10"/>
      <c r="T37" s="10"/>
      <c r="U37" s="10"/>
      <c r="V37" s="10"/>
      <c r="W37" s="10"/>
      <c r="Z37" s="2" t="s">
        <v>39</v>
      </c>
      <c r="AA37" s="2" t="s">
        <v>40</v>
      </c>
      <c r="AB37" s="39">
        <v>851.8</v>
      </c>
      <c r="AC37" s="39">
        <v>851.8</v>
      </c>
      <c r="AD37" s="39"/>
      <c r="AE37" s="39"/>
      <c r="AF37" s="39"/>
      <c r="AG37" s="39"/>
      <c r="AH37" s="39"/>
      <c r="AI37" s="39"/>
      <c r="AJ37" s="39"/>
      <c r="AK37" s="39"/>
      <c r="AL37" s="39">
        <v>0</v>
      </c>
      <c r="AM37" s="39">
        <v>-851.8</v>
      </c>
      <c r="AN37" s="40">
        <v>-100</v>
      </c>
      <c r="BB37" s="119"/>
      <c r="BD37" s="119"/>
    </row>
    <row r="38" spans="1:56" hidden="1">
      <c r="A38" s="43"/>
      <c r="B38" s="48" t="s">
        <v>52</v>
      </c>
      <c r="C38" s="24" t="s">
        <v>22</v>
      </c>
      <c r="D38" s="27">
        <v>0.5</v>
      </c>
      <c r="E38" s="26">
        <f t="shared" si="3"/>
        <v>0.5</v>
      </c>
      <c r="F38" s="26"/>
      <c r="G38" s="26"/>
      <c r="H38" s="26"/>
      <c r="I38" s="26"/>
      <c r="J38" s="26"/>
      <c r="K38" s="26"/>
      <c r="L38" s="26"/>
      <c r="M38" s="26"/>
      <c r="N38" s="27">
        <f t="shared" si="5"/>
        <v>0</v>
      </c>
      <c r="O38" s="28">
        <f t="shared" si="2"/>
        <v>-0.5</v>
      </c>
      <c r="P38" s="29">
        <f t="shared" si="4"/>
        <v>-100</v>
      </c>
      <c r="S38" s="10"/>
      <c r="T38" s="10"/>
      <c r="U38" s="10"/>
      <c r="V38" s="10"/>
      <c r="W38" s="10"/>
      <c r="Z38" s="1" t="s">
        <v>52</v>
      </c>
      <c r="AA38" s="1" t="s">
        <v>22</v>
      </c>
      <c r="AB38" s="30">
        <v>0.5</v>
      </c>
      <c r="AC38" s="30">
        <v>0.5</v>
      </c>
      <c r="AD38" s="30"/>
      <c r="AE38" s="30"/>
      <c r="AF38" s="30"/>
      <c r="AG38" s="30"/>
      <c r="AH38" s="30"/>
      <c r="AI38" s="30"/>
      <c r="AJ38" s="30"/>
      <c r="AK38" s="30"/>
      <c r="AL38" s="30">
        <v>0</v>
      </c>
      <c r="AM38" s="30">
        <v>-0.5</v>
      </c>
      <c r="AN38" s="31">
        <v>-100</v>
      </c>
      <c r="BB38" s="118"/>
      <c r="BD38" s="118"/>
    </row>
    <row r="39" spans="1:56" s="2" customFormat="1" hidden="1">
      <c r="A39" s="44"/>
      <c r="B39" s="33" t="s">
        <v>36</v>
      </c>
      <c r="C39" s="34" t="s">
        <v>53</v>
      </c>
      <c r="D39" s="45">
        <v>1</v>
      </c>
      <c r="E39" s="26">
        <f t="shared" si="3"/>
        <v>1</v>
      </c>
      <c r="F39" s="35"/>
      <c r="G39" s="35"/>
      <c r="H39" s="35"/>
      <c r="I39" s="35"/>
      <c r="J39" s="35"/>
      <c r="K39" s="35"/>
      <c r="L39" s="35"/>
      <c r="M39" s="35"/>
      <c r="N39" s="27">
        <f t="shared" si="5"/>
        <v>0</v>
      </c>
      <c r="O39" s="37">
        <f t="shared" si="2"/>
        <v>-1</v>
      </c>
      <c r="P39" s="29"/>
      <c r="S39" s="10"/>
      <c r="T39" s="10"/>
      <c r="U39" s="10"/>
      <c r="V39" s="10"/>
      <c r="W39" s="10"/>
      <c r="Z39" s="2" t="s">
        <v>36</v>
      </c>
      <c r="AA39" s="2" t="s">
        <v>53</v>
      </c>
      <c r="AB39" s="46">
        <v>1</v>
      </c>
      <c r="AC39" s="39">
        <v>1</v>
      </c>
      <c r="AD39" s="38"/>
      <c r="AE39" s="38"/>
      <c r="AF39" s="38"/>
      <c r="AG39" s="38"/>
      <c r="AH39" s="38"/>
      <c r="AI39" s="38"/>
      <c r="AJ39" s="38"/>
      <c r="AK39" s="38"/>
      <c r="AL39" s="39">
        <v>0</v>
      </c>
      <c r="AM39" s="39">
        <v>-1</v>
      </c>
      <c r="AN39" s="40">
        <v>-100</v>
      </c>
      <c r="BB39" s="119"/>
      <c r="BD39" s="119"/>
    </row>
    <row r="40" spans="1:56" s="2" customFormat="1" hidden="1">
      <c r="A40" s="44"/>
      <c r="B40" s="33" t="s">
        <v>39</v>
      </c>
      <c r="C40" s="34" t="s">
        <v>40</v>
      </c>
      <c r="D40" s="47">
        <v>468.25</v>
      </c>
      <c r="E40" s="26">
        <f t="shared" si="3"/>
        <v>468.25</v>
      </c>
      <c r="F40" s="41"/>
      <c r="G40" s="41"/>
      <c r="H40" s="41"/>
      <c r="I40" s="41"/>
      <c r="J40" s="41"/>
      <c r="K40" s="41"/>
      <c r="L40" s="41"/>
      <c r="M40" s="41"/>
      <c r="N40" s="27">
        <f t="shared" si="5"/>
        <v>0</v>
      </c>
      <c r="O40" s="37">
        <f t="shared" si="2"/>
        <v>-468.25</v>
      </c>
      <c r="P40" s="29">
        <f t="shared" si="4"/>
        <v>-100</v>
      </c>
      <c r="Z40" s="2" t="s">
        <v>39</v>
      </c>
      <c r="AA40" s="2" t="s">
        <v>40</v>
      </c>
      <c r="AB40" s="39">
        <v>468.25</v>
      </c>
      <c r="AC40" s="39">
        <v>468.25</v>
      </c>
      <c r="AD40" s="39"/>
      <c r="AE40" s="39"/>
      <c r="AF40" s="39"/>
      <c r="AG40" s="39"/>
      <c r="AH40" s="39"/>
      <c r="AI40" s="39"/>
      <c r="AJ40" s="39"/>
      <c r="AK40" s="39"/>
      <c r="AL40" s="39">
        <v>0</v>
      </c>
      <c r="AM40" s="39">
        <v>-468.25</v>
      </c>
      <c r="AN40" s="40">
        <v>-100</v>
      </c>
      <c r="BB40" s="119"/>
      <c r="BD40" s="119"/>
    </row>
    <row r="41" spans="1:56" s="18" customFormat="1" ht="22.5" customHeight="1">
      <c r="A41" s="66" t="s">
        <v>54</v>
      </c>
      <c r="B41" s="48" t="s">
        <v>55</v>
      </c>
      <c r="C41" s="24" t="s">
        <v>22</v>
      </c>
      <c r="D41" s="27">
        <v>5125.9489999999996</v>
      </c>
      <c r="E41" s="26">
        <f t="shared" si="3"/>
        <v>5125.9489999999996</v>
      </c>
      <c r="F41" s="27">
        <f t="shared" ref="F41:M41" si="6">F42</f>
        <v>0</v>
      </c>
      <c r="G41" s="27">
        <f t="shared" si="6"/>
        <v>0</v>
      </c>
      <c r="H41" s="27">
        <f t="shared" si="6"/>
        <v>0</v>
      </c>
      <c r="I41" s="27">
        <f t="shared" si="6"/>
        <v>0</v>
      </c>
      <c r="J41" s="27">
        <f t="shared" si="6"/>
        <v>0</v>
      </c>
      <c r="K41" s="27">
        <f t="shared" si="6"/>
        <v>0</v>
      </c>
      <c r="L41" s="27">
        <f t="shared" si="6"/>
        <v>0</v>
      </c>
      <c r="M41" s="27">
        <f t="shared" si="6"/>
        <v>0</v>
      </c>
      <c r="N41" s="27">
        <f>N43*N44/1000</f>
        <v>5600.5378389999996</v>
      </c>
      <c r="O41" s="28">
        <f t="shared" si="2"/>
        <v>474.58883900000001</v>
      </c>
      <c r="P41" s="29">
        <f t="shared" si="4"/>
        <v>9.258555615750371</v>
      </c>
      <c r="Q41" s="17"/>
      <c r="S41" s="2"/>
      <c r="T41" s="2"/>
      <c r="U41" s="2"/>
      <c r="V41" s="2"/>
      <c r="W41" s="2"/>
      <c r="Y41" s="18" t="s">
        <v>54</v>
      </c>
      <c r="Z41" s="18" t="s">
        <v>56</v>
      </c>
      <c r="AA41" s="18" t="s">
        <v>22</v>
      </c>
      <c r="AB41" s="17">
        <v>5125.9489999999996</v>
      </c>
      <c r="AC41" s="17">
        <v>5125.9489999999996</v>
      </c>
      <c r="AD41" s="17">
        <v>2673.1619999999998</v>
      </c>
      <c r="AE41" s="17">
        <v>1823.8029999999999</v>
      </c>
      <c r="AF41" s="17">
        <v>1103.5740000000001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5600.5390000000007</v>
      </c>
      <c r="AM41" s="17">
        <v>474.59000000000106</v>
      </c>
      <c r="AN41" s="19">
        <v>9.2585782652149078</v>
      </c>
      <c r="BB41" s="117"/>
      <c r="BC41" s="114"/>
      <c r="BD41" s="123" t="s">
        <v>273</v>
      </c>
    </row>
    <row r="42" spans="1:56" s="10" customFormat="1" hidden="1">
      <c r="A42" s="8"/>
      <c r="B42" s="52" t="s">
        <v>57</v>
      </c>
      <c r="C42" s="34" t="s">
        <v>22</v>
      </c>
      <c r="D42" s="47">
        <v>5125.9489999999996</v>
      </c>
      <c r="E42" s="26">
        <f t="shared" si="3"/>
        <v>5125.9489999999996</v>
      </c>
      <c r="F42" s="47"/>
      <c r="G42" s="47"/>
      <c r="H42" s="47"/>
      <c r="I42" s="47"/>
      <c r="J42" s="47"/>
      <c r="K42" s="47"/>
      <c r="L42" s="47"/>
      <c r="M42" s="47"/>
      <c r="N42" s="47">
        <f>N45+N48+N51</f>
        <v>5600.5390000000007</v>
      </c>
      <c r="O42" s="37">
        <f t="shared" si="2"/>
        <v>474.59000000000106</v>
      </c>
      <c r="P42" s="29">
        <f t="shared" si="4"/>
        <v>9.2585782652149113</v>
      </c>
      <c r="Q42" s="53"/>
      <c r="S42" s="2"/>
      <c r="T42" s="2"/>
      <c r="U42" s="2"/>
      <c r="V42" s="2"/>
      <c r="W42" s="2"/>
      <c r="Z42" s="10" t="s">
        <v>57</v>
      </c>
      <c r="AA42" s="10" t="s">
        <v>22</v>
      </c>
      <c r="AB42" s="54">
        <v>5125.9489999999996</v>
      </c>
      <c r="AC42" s="54">
        <v>5125.9489999999996</v>
      </c>
      <c r="AD42" s="55">
        <v>2673.1619999999998</v>
      </c>
      <c r="AE42" s="55">
        <v>1823.8029999999999</v>
      </c>
      <c r="AF42" s="54">
        <v>1103.5740000000001</v>
      </c>
      <c r="AG42" s="54"/>
      <c r="AH42" s="54"/>
      <c r="AI42" s="54"/>
      <c r="AJ42" s="54"/>
      <c r="AK42" s="54"/>
      <c r="AL42" s="54">
        <v>5600.5390000000007</v>
      </c>
      <c r="AM42" s="54">
        <v>474.59000000000106</v>
      </c>
      <c r="AN42" s="56">
        <v>9.2585782652149078</v>
      </c>
      <c r="BB42" s="116"/>
      <c r="BD42" s="116"/>
    </row>
    <row r="43" spans="1:56" s="10" customFormat="1">
      <c r="A43" s="8"/>
      <c r="B43" s="33" t="s">
        <v>36</v>
      </c>
      <c r="C43" s="57" t="s">
        <v>58</v>
      </c>
      <c r="D43" s="58">
        <v>272.59300000000002</v>
      </c>
      <c r="E43" s="36">
        <v>272593</v>
      </c>
      <c r="F43" s="47"/>
      <c r="G43" s="47"/>
      <c r="H43" s="47"/>
      <c r="I43" s="47"/>
      <c r="J43" s="47"/>
      <c r="K43" s="47"/>
      <c r="L43" s="47"/>
      <c r="M43" s="47"/>
      <c r="N43" s="58">
        <v>299014.3</v>
      </c>
      <c r="O43" s="47">
        <f t="shared" si="2"/>
        <v>26421.299999999988</v>
      </c>
      <c r="P43" s="29">
        <f t="shared" si="4"/>
        <v>9.6925819811954046</v>
      </c>
      <c r="S43" s="2"/>
      <c r="T43" s="2"/>
      <c r="U43" s="2"/>
      <c r="V43" s="2"/>
      <c r="W43" s="2"/>
      <c r="Z43" s="10" t="s">
        <v>36</v>
      </c>
      <c r="AA43" s="10" t="s">
        <v>58</v>
      </c>
      <c r="AB43" s="59">
        <v>272.59300000000002</v>
      </c>
      <c r="AC43" s="54">
        <v>272.59300000000002</v>
      </c>
      <c r="AD43" s="59">
        <v>142243</v>
      </c>
      <c r="AE43" s="59">
        <v>97010.797872340423</v>
      </c>
      <c r="AF43" s="59">
        <v>58700.744680851065</v>
      </c>
      <c r="AG43" s="54"/>
      <c r="AH43" s="54"/>
      <c r="AI43" s="54"/>
      <c r="AJ43" s="54"/>
      <c r="AK43" s="54"/>
      <c r="AL43" s="59">
        <v>297954.54255319148</v>
      </c>
      <c r="AM43" s="54">
        <v>297681.94955319149</v>
      </c>
      <c r="AN43" s="56">
        <v>109203.81284669506</v>
      </c>
      <c r="BB43" s="116"/>
      <c r="BD43" s="116"/>
    </row>
    <row r="44" spans="1:56" s="10" customFormat="1">
      <c r="A44" s="8"/>
      <c r="B44" s="33" t="s">
        <v>39</v>
      </c>
      <c r="C44" s="34" t="s">
        <v>40</v>
      </c>
      <c r="D44" s="47">
        <v>18.8</v>
      </c>
      <c r="E44" s="60">
        <f t="shared" si="3"/>
        <v>18.8</v>
      </c>
      <c r="F44" s="41"/>
      <c r="G44" s="41"/>
      <c r="H44" s="41"/>
      <c r="I44" s="41"/>
      <c r="J44" s="41"/>
      <c r="K44" s="41"/>
      <c r="L44" s="41"/>
      <c r="M44" s="41"/>
      <c r="N44" s="47">
        <v>18.73</v>
      </c>
      <c r="O44" s="37">
        <f t="shared" si="2"/>
        <v>-7.0000000000000284E-2</v>
      </c>
      <c r="P44" s="29">
        <f t="shared" si="4"/>
        <v>-0.37234042553191637</v>
      </c>
      <c r="S44" s="2"/>
      <c r="T44" s="2"/>
      <c r="U44" s="2"/>
      <c r="V44" s="2"/>
      <c r="W44" s="2"/>
      <c r="Z44" s="10" t="s">
        <v>39</v>
      </c>
      <c r="AA44" s="10" t="s">
        <v>40</v>
      </c>
      <c r="AB44" s="54">
        <v>18.8</v>
      </c>
      <c r="AC44" s="54">
        <v>18.8</v>
      </c>
      <c r="AD44" s="54">
        <v>18.792924783644889</v>
      </c>
      <c r="AE44" s="54">
        <v>18.8</v>
      </c>
      <c r="AF44" s="54">
        <v>18.8</v>
      </c>
      <c r="AG44" s="54"/>
      <c r="AH44" s="54"/>
      <c r="AI44" s="54"/>
      <c r="AJ44" s="54"/>
      <c r="AK44" s="54"/>
      <c r="AL44" s="54">
        <v>18.73</v>
      </c>
      <c r="AM44" s="54">
        <v>-7.0000000000000284E-2</v>
      </c>
      <c r="AN44" s="56">
        <v>-0.37234042553191671</v>
      </c>
      <c r="BB44" s="116"/>
      <c r="BD44" s="116"/>
    </row>
    <row r="45" spans="1:56" s="2" customFormat="1" ht="47.25" hidden="1">
      <c r="A45" s="57"/>
      <c r="B45" s="33" t="s">
        <v>59</v>
      </c>
      <c r="C45" s="34" t="s">
        <v>22</v>
      </c>
      <c r="D45" s="47">
        <v>1654.17</v>
      </c>
      <c r="E45" s="26">
        <f t="shared" si="3"/>
        <v>1654.17</v>
      </c>
      <c r="F45" s="41">
        <v>2673.1619999999998</v>
      </c>
      <c r="G45" s="41"/>
      <c r="H45" s="41"/>
      <c r="I45" s="41"/>
      <c r="J45" s="41"/>
      <c r="K45" s="41"/>
      <c r="L45" s="41"/>
      <c r="M45" s="41"/>
      <c r="N45" s="27">
        <f>SUM(F45:M45)</f>
        <v>2673.1619999999998</v>
      </c>
      <c r="O45" s="37">
        <f t="shared" si="2"/>
        <v>1018.9919999999997</v>
      </c>
      <c r="P45" s="29">
        <f t="shared" si="4"/>
        <v>61.601407352327733</v>
      </c>
      <c r="Z45" s="2" t="s">
        <v>59</v>
      </c>
      <c r="AA45" s="2" t="s">
        <v>22</v>
      </c>
      <c r="AB45" s="39">
        <v>1654.17</v>
      </c>
      <c r="AC45" s="39">
        <v>1654.17</v>
      </c>
      <c r="AD45" s="39">
        <v>2673.1619999999998</v>
      </c>
      <c r="AE45" s="39"/>
      <c r="AF45" s="39"/>
      <c r="AG45" s="39"/>
      <c r="AH45" s="39"/>
      <c r="AI45" s="39"/>
      <c r="AJ45" s="39"/>
      <c r="AK45" s="39"/>
      <c r="AL45" s="39">
        <v>2673.1619999999998</v>
      </c>
      <c r="AM45" s="39">
        <v>1018.9919999999997</v>
      </c>
      <c r="AN45" s="40">
        <v>61.601407352327726</v>
      </c>
      <c r="BB45" s="119"/>
      <c r="BD45" s="119"/>
    </row>
    <row r="46" spans="1:56" s="2" customFormat="1" hidden="1">
      <c r="A46" s="57"/>
      <c r="B46" s="33" t="s">
        <v>36</v>
      </c>
      <c r="C46" s="34" t="s">
        <v>58</v>
      </c>
      <c r="D46" s="58">
        <f>87967</f>
        <v>87967</v>
      </c>
      <c r="E46" s="36">
        <f>D46</f>
        <v>87967</v>
      </c>
      <c r="F46" s="36">
        <v>142243</v>
      </c>
      <c r="G46" s="41"/>
      <c r="H46" s="41"/>
      <c r="I46" s="41"/>
      <c r="J46" s="41"/>
      <c r="K46" s="41"/>
      <c r="L46" s="41"/>
      <c r="M46" s="41"/>
      <c r="N46" s="27">
        <f>SUM(F46:M46)</f>
        <v>142243</v>
      </c>
      <c r="O46" s="37">
        <f t="shared" si="2"/>
        <v>54276</v>
      </c>
      <c r="P46" s="29"/>
      <c r="Z46" s="2" t="s">
        <v>36</v>
      </c>
      <c r="AA46" s="2" t="s">
        <v>58</v>
      </c>
      <c r="AB46" s="38">
        <v>87967</v>
      </c>
      <c r="AC46" s="38">
        <v>87967</v>
      </c>
      <c r="AD46" s="38">
        <v>142243</v>
      </c>
      <c r="AE46" s="39"/>
      <c r="AF46" s="39"/>
      <c r="AG46" s="39"/>
      <c r="AH46" s="39"/>
      <c r="AI46" s="39"/>
      <c r="AJ46" s="39"/>
      <c r="AK46" s="39"/>
      <c r="AL46" s="39">
        <v>142243</v>
      </c>
      <c r="AM46" s="39">
        <v>54276</v>
      </c>
      <c r="AN46" s="40">
        <v>61.700410381165682</v>
      </c>
      <c r="BB46" s="119"/>
      <c r="BD46" s="119"/>
    </row>
    <row r="47" spans="1:56" s="2" customFormat="1" hidden="1">
      <c r="A47" s="57"/>
      <c r="B47" s="33" t="s">
        <v>39</v>
      </c>
      <c r="C47" s="34" t="s">
        <v>40</v>
      </c>
      <c r="D47" s="47">
        <v>18.8</v>
      </c>
      <c r="E47" s="26">
        <f t="shared" si="3"/>
        <v>18.8</v>
      </c>
      <c r="F47" s="41">
        <f>F45/F46*1000</f>
        <v>18.792924783644889</v>
      </c>
      <c r="G47" s="41"/>
      <c r="H47" s="41"/>
      <c r="I47" s="41"/>
      <c r="J47" s="41"/>
      <c r="K47" s="41"/>
      <c r="L47" s="41"/>
      <c r="M47" s="41"/>
      <c r="N47" s="47">
        <f>F47</f>
        <v>18.792924783644889</v>
      </c>
      <c r="O47" s="37">
        <f t="shared" si="2"/>
        <v>-7.0752163551119907E-3</v>
      </c>
      <c r="P47" s="29">
        <f t="shared" si="4"/>
        <v>-3.763412954846803E-2</v>
      </c>
      <c r="Z47" s="2" t="s">
        <v>39</v>
      </c>
      <c r="AA47" s="2" t="s">
        <v>40</v>
      </c>
      <c r="AB47" s="39">
        <v>18.8</v>
      </c>
      <c r="AC47" s="39">
        <v>18.8</v>
      </c>
      <c r="AD47" s="39">
        <v>18.792924783644889</v>
      </c>
      <c r="AE47" s="39"/>
      <c r="AF47" s="39"/>
      <c r="AG47" s="39"/>
      <c r="AH47" s="39"/>
      <c r="AI47" s="39"/>
      <c r="AJ47" s="39"/>
      <c r="AK47" s="39"/>
      <c r="AL47" s="39">
        <v>18.792924783644889</v>
      </c>
      <c r="AM47" s="39">
        <v>-7.0752163551119907E-3</v>
      </c>
      <c r="AN47" s="40">
        <v>-3.7634129548465012E-2</v>
      </c>
      <c r="BB47" s="119"/>
      <c r="BD47" s="119"/>
    </row>
    <row r="48" spans="1:56" s="2" customFormat="1" ht="31.5" hidden="1">
      <c r="A48" s="57"/>
      <c r="B48" s="33" t="s">
        <v>60</v>
      </c>
      <c r="C48" s="34" t="s">
        <v>22</v>
      </c>
      <c r="D48" s="47">
        <v>1578.44</v>
      </c>
      <c r="E48" s="26">
        <f t="shared" si="3"/>
        <v>1578.44</v>
      </c>
      <c r="F48" s="41"/>
      <c r="G48" s="41">
        <f>557.482+1266.321</f>
        <v>1823.8029999999999</v>
      </c>
      <c r="H48" s="41"/>
      <c r="I48" s="41"/>
      <c r="J48" s="41"/>
      <c r="K48" s="41"/>
      <c r="L48" s="41"/>
      <c r="M48" s="41"/>
      <c r="N48" s="27">
        <f>SUM(F48:M48)</f>
        <v>1823.8029999999999</v>
      </c>
      <c r="O48" s="37">
        <f t="shared" si="2"/>
        <v>245.36299999999983</v>
      </c>
      <c r="P48" s="29">
        <f t="shared" si="4"/>
        <v>15.544651681406949</v>
      </c>
      <c r="Z48" s="2" t="s">
        <v>60</v>
      </c>
      <c r="AA48" s="2" t="s">
        <v>22</v>
      </c>
      <c r="AB48" s="39">
        <v>1578.44</v>
      </c>
      <c r="AC48" s="39">
        <v>1578.44</v>
      </c>
      <c r="AD48" s="39"/>
      <c r="AE48" s="39">
        <v>1823.8029999999999</v>
      </c>
      <c r="AF48" s="39"/>
      <c r="AG48" s="39"/>
      <c r="AH48" s="39"/>
      <c r="AI48" s="39"/>
      <c r="AJ48" s="39"/>
      <c r="AK48" s="39"/>
      <c r="AL48" s="39">
        <v>1823.8029999999999</v>
      </c>
      <c r="AM48" s="39">
        <v>245.36299999999983</v>
      </c>
      <c r="AN48" s="40">
        <v>15.544651681406947</v>
      </c>
      <c r="BB48" s="119"/>
      <c r="BD48" s="119"/>
    </row>
    <row r="49" spans="1:56" s="2" customFormat="1" hidden="1">
      <c r="A49" s="57"/>
      <c r="B49" s="33" t="s">
        <v>36</v>
      </c>
      <c r="C49" s="34" t="s">
        <v>58</v>
      </c>
      <c r="D49" s="58">
        <v>8394</v>
      </c>
      <c r="E49" s="26">
        <f t="shared" si="3"/>
        <v>8394</v>
      </c>
      <c r="F49" s="41"/>
      <c r="G49" s="58">
        <f>G48/G50*1000</f>
        <v>97010.797872340423</v>
      </c>
      <c r="H49" s="41"/>
      <c r="I49" s="41"/>
      <c r="J49" s="41"/>
      <c r="K49" s="41"/>
      <c r="L49" s="41"/>
      <c r="M49" s="41"/>
      <c r="N49" s="27">
        <f>SUM(F49:M49)</f>
        <v>97010.797872340423</v>
      </c>
      <c r="O49" s="37">
        <f t="shared" si="2"/>
        <v>88616.797872340423</v>
      </c>
      <c r="P49" s="29"/>
      <c r="S49" s="18"/>
      <c r="T49" s="18"/>
      <c r="U49" s="18"/>
      <c r="V49" s="18"/>
      <c r="W49" s="18"/>
      <c r="Z49" s="2" t="s">
        <v>36</v>
      </c>
      <c r="AA49" s="2" t="s">
        <v>58</v>
      </c>
      <c r="AB49" s="38">
        <v>8394</v>
      </c>
      <c r="AC49" s="39">
        <v>8394</v>
      </c>
      <c r="AD49" s="39"/>
      <c r="AE49" s="38">
        <v>97010.797872340423</v>
      </c>
      <c r="AF49" s="39"/>
      <c r="AG49" s="39"/>
      <c r="AH49" s="39"/>
      <c r="AI49" s="39"/>
      <c r="AJ49" s="39"/>
      <c r="AK49" s="39"/>
      <c r="AL49" s="39">
        <v>97010.797872340423</v>
      </c>
      <c r="AM49" s="39">
        <v>88616.797872340423</v>
      </c>
      <c r="AN49" s="40">
        <v>1055.7159622628119</v>
      </c>
      <c r="BB49" s="119"/>
      <c r="BD49" s="119"/>
    </row>
    <row r="50" spans="1:56" s="2" customFormat="1" hidden="1">
      <c r="A50" s="57"/>
      <c r="B50" s="33" t="s">
        <v>39</v>
      </c>
      <c r="C50" s="34" t="s">
        <v>40</v>
      </c>
      <c r="D50" s="47">
        <v>18.8</v>
      </c>
      <c r="E50" s="26">
        <f t="shared" si="3"/>
        <v>18.8</v>
      </c>
      <c r="F50" s="41"/>
      <c r="G50" s="41">
        <v>18.8</v>
      </c>
      <c r="H50" s="41"/>
      <c r="I50" s="41"/>
      <c r="J50" s="41"/>
      <c r="K50" s="41"/>
      <c r="L50" s="41"/>
      <c r="M50" s="41"/>
      <c r="N50" s="47">
        <f>G50</f>
        <v>18.8</v>
      </c>
      <c r="O50" s="37">
        <f t="shared" si="2"/>
        <v>0</v>
      </c>
      <c r="P50" s="29">
        <f t="shared" si="4"/>
        <v>0</v>
      </c>
      <c r="S50" s="1"/>
      <c r="T50" s="1"/>
      <c r="U50" s="1"/>
      <c r="V50" s="1"/>
      <c r="W50" s="61"/>
      <c r="Z50" s="2" t="s">
        <v>39</v>
      </c>
      <c r="AA50" s="2" t="s">
        <v>40</v>
      </c>
      <c r="AB50" s="39">
        <v>18.8</v>
      </c>
      <c r="AC50" s="39">
        <v>18.8</v>
      </c>
      <c r="AD50" s="39"/>
      <c r="AE50" s="39">
        <v>18.8</v>
      </c>
      <c r="AF50" s="39"/>
      <c r="AG50" s="39"/>
      <c r="AH50" s="39"/>
      <c r="AI50" s="39"/>
      <c r="AJ50" s="39"/>
      <c r="AK50" s="39"/>
      <c r="AL50" s="39">
        <v>18.8</v>
      </c>
      <c r="AM50" s="39">
        <v>0</v>
      </c>
      <c r="AN50" s="40">
        <v>0</v>
      </c>
      <c r="BB50" s="119"/>
      <c r="BD50" s="119"/>
    </row>
    <row r="51" spans="1:56" s="2" customFormat="1" ht="47.25" hidden="1">
      <c r="A51" s="57"/>
      <c r="B51" s="33" t="s">
        <v>61</v>
      </c>
      <c r="C51" s="34" t="s">
        <v>22</v>
      </c>
      <c r="D51" s="47">
        <v>1893.34</v>
      </c>
      <c r="E51" s="26">
        <f t="shared" si="3"/>
        <v>1893.34</v>
      </c>
      <c r="F51" s="41"/>
      <c r="G51" s="41"/>
      <c r="H51" s="62">
        <v>1103.5740000000001</v>
      </c>
      <c r="I51" s="41"/>
      <c r="J51" s="41"/>
      <c r="K51" s="41"/>
      <c r="L51" s="41"/>
      <c r="M51" s="41"/>
      <c r="N51" s="27">
        <f>SUM(F51:M51)</f>
        <v>1103.5740000000001</v>
      </c>
      <c r="O51" s="37">
        <f t="shared" si="2"/>
        <v>-789.76599999999985</v>
      </c>
      <c r="P51" s="29">
        <f t="shared" si="4"/>
        <v>-41.712846081527879</v>
      </c>
      <c r="S51" s="1"/>
      <c r="T51" s="1"/>
      <c r="U51" s="1"/>
      <c r="V51" s="1"/>
      <c r="W51" s="61"/>
      <c r="Z51" s="2" t="s">
        <v>61</v>
      </c>
      <c r="AA51" s="2" t="s">
        <v>22</v>
      </c>
      <c r="AB51" s="39">
        <v>1893.34</v>
      </c>
      <c r="AC51" s="39">
        <v>1893.34</v>
      </c>
      <c r="AD51" s="39"/>
      <c r="AE51" s="39"/>
      <c r="AF51" s="63">
        <v>1103.5740000000001</v>
      </c>
      <c r="AG51" s="39"/>
      <c r="AH51" s="39"/>
      <c r="AI51" s="39"/>
      <c r="AJ51" s="39"/>
      <c r="AK51" s="39"/>
      <c r="AL51" s="39">
        <v>1103.5740000000001</v>
      </c>
      <c r="AM51" s="39">
        <v>-789.76599999999985</v>
      </c>
      <c r="AN51" s="40">
        <v>-41.712846081527879</v>
      </c>
      <c r="BB51" s="119"/>
      <c r="BD51" s="119"/>
    </row>
    <row r="52" spans="1:56" s="2" customFormat="1" hidden="1">
      <c r="A52" s="57"/>
      <c r="B52" s="33" t="s">
        <v>36</v>
      </c>
      <c r="C52" s="34" t="s">
        <v>58</v>
      </c>
      <c r="D52" s="58">
        <v>100.68600000000001</v>
      </c>
      <c r="E52" s="26">
        <v>100686</v>
      </c>
      <c r="F52" s="41"/>
      <c r="G52" s="41"/>
      <c r="H52" s="35">
        <f>H51/H53*1000</f>
        <v>58700.744680851065</v>
      </c>
      <c r="I52" s="41"/>
      <c r="J52" s="41"/>
      <c r="K52" s="41"/>
      <c r="L52" s="41"/>
      <c r="M52" s="41"/>
      <c r="N52" s="27">
        <f>SUM(F52:M52)</f>
        <v>58700.744680851065</v>
      </c>
      <c r="O52" s="37">
        <f t="shared" si="2"/>
        <v>-41985.255319148935</v>
      </c>
      <c r="P52" s="29"/>
      <c r="Z52" s="2" t="s">
        <v>36</v>
      </c>
      <c r="AA52" s="2" t="s">
        <v>58</v>
      </c>
      <c r="AB52" s="38">
        <v>100.68600000000001</v>
      </c>
      <c r="AC52" s="39">
        <v>100.68600000000001</v>
      </c>
      <c r="AD52" s="39"/>
      <c r="AE52" s="39"/>
      <c r="AF52" s="38">
        <v>58700.744680851065</v>
      </c>
      <c r="AG52" s="39"/>
      <c r="AH52" s="39"/>
      <c r="AI52" s="39"/>
      <c r="AJ52" s="39"/>
      <c r="AK52" s="39"/>
      <c r="AL52" s="39">
        <v>58700.744680851065</v>
      </c>
      <c r="AM52" s="39">
        <v>58600.058680851063</v>
      </c>
      <c r="AN52" s="40">
        <v>58200.801184723852</v>
      </c>
      <c r="BB52" s="119"/>
      <c r="BD52" s="119"/>
    </row>
    <row r="53" spans="1:56" s="2" customFormat="1" hidden="1">
      <c r="A53" s="57"/>
      <c r="B53" s="33" t="s">
        <v>39</v>
      </c>
      <c r="C53" s="34" t="s">
        <v>40</v>
      </c>
      <c r="D53" s="47">
        <v>18.8</v>
      </c>
      <c r="E53" s="26">
        <f t="shared" si="3"/>
        <v>18.8</v>
      </c>
      <c r="F53" s="41"/>
      <c r="G53" s="41"/>
      <c r="H53" s="41">
        <v>18.8</v>
      </c>
      <c r="I53" s="41"/>
      <c r="J53" s="41"/>
      <c r="K53" s="41"/>
      <c r="L53" s="41"/>
      <c r="M53" s="41"/>
      <c r="N53" s="47">
        <f>H53</f>
        <v>18.8</v>
      </c>
      <c r="O53" s="37">
        <f t="shared" si="2"/>
        <v>0</v>
      </c>
      <c r="P53" s="29">
        <f t="shared" si="4"/>
        <v>0</v>
      </c>
      <c r="Z53" s="2" t="s">
        <v>39</v>
      </c>
      <c r="AA53" s="2" t="s">
        <v>40</v>
      </c>
      <c r="AB53" s="39">
        <v>18.8</v>
      </c>
      <c r="AC53" s="39">
        <v>18.8</v>
      </c>
      <c r="AD53" s="39"/>
      <c r="AE53" s="39"/>
      <c r="AF53" s="39">
        <v>18.8</v>
      </c>
      <c r="AG53" s="39"/>
      <c r="AH53" s="39"/>
      <c r="AI53" s="39"/>
      <c r="AJ53" s="39"/>
      <c r="AK53" s="39"/>
      <c r="AL53" s="39">
        <v>18.8</v>
      </c>
      <c r="AM53" s="39">
        <v>0</v>
      </c>
      <c r="AN53" s="40">
        <v>0</v>
      </c>
      <c r="BB53" s="119"/>
      <c r="BD53" s="119"/>
    </row>
    <row r="54" spans="1:56" s="18" customFormat="1">
      <c r="A54" s="11" t="s">
        <v>62</v>
      </c>
      <c r="B54" s="50" t="s">
        <v>63</v>
      </c>
      <c r="C54" s="13" t="s">
        <v>22</v>
      </c>
      <c r="D54" s="51" t="e">
        <f>D55+D56</f>
        <v>#REF!</v>
      </c>
      <c r="E54" s="14">
        <f>E55+E56</f>
        <v>61564.810000000005</v>
      </c>
      <c r="F54" s="51" t="e">
        <f>F55+F56</f>
        <v>#REF!</v>
      </c>
      <c r="G54" s="51" t="e">
        <f>G55+G56</f>
        <v>#REF!</v>
      </c>
      <c r="H54" s="51" t="e">
        <f>H55+H56</f>
        <v>#REF!</v>
      </c>
      <c r="I54" s="51" t="e">
        <f>I55+#REF!</f>
        <v>#REF!</v>
      </c>
      <c r="J54" s="51" t="e">
        <f>J55+#REF!</f>
        <v>#REF!</v>
      </c>
      <c r="K54" s="51" t="e">
        <f>K55+#REF!</f>
        <v>#REF!</v>
      </c>
      <c r="L54" s="51" t="e">
        <f>L55+#REF!</f>
        <v>#REF!</v>
      </c>
      <c r="M54" s="51">
        <f>M55+M56</f>
        <v>0</v>
      </c>
      <c r="N54" s="51">
        <f>N55+N56</f>
        <v>62134.163</v>
      </c>
      <c r="O54" s="15">
        <f>N54-E54</f>
        <v>569.35299999999552</v>
      </c>
      <c r="P54" s="16">
        <f t="shared" si="4"/>
        <v>0.9248026591814309</v>
      </c>
      <c r="Y54" s="18" t="s">
        <v>62</v>
      </c>
      <c r="Z54" s="64" t="s">
        <v>63</v>
      </c>
      <c r="AA54" s="18" t="s">
        <v>22</v>
      </c>
      <c r="AB54" s="17">
        <v>61564.813999999998</v>
      </c>
      <c r="AC54" s="17">
        <v>61564.813999999998</v>
      </c>
      <c r="AD54" s="17">
        <v>11494.128999999999</v>
      </c>
      <c r="AE54" s="17">
        <v>16276.213</v>
      </c>
      <c r="AF54" s="17">
        <v>9570.6449999999986</v>
      </c>
      <c r="AG54" s="17">
        <v>9183.07</v>
      </c>
      <c r="AH54" s="17">
        <v>1943.8579999999999</v>
      </c>
      <c r="AI54" s="17">
        <v>4826.9170000000004</v>
      </c>
      <c r="AJ54" s="17">
        <v>2284.6240000000003</v>
      </c>
      <c r="AK54" s="17">
        <v>0</v>
      </c>
      <c r="AL54" s="17">
        <v>56518.433999999994</v>
      </c>
      <c r="AM54" s="17">
        <v>-5046.3800000000047</v>
      </c>
      <c r="AN54" s="19">
        <v>-8.1968573802562048</v>
      </c>
      <c r="AP54" s="65"/>
      <c r="BB54" s="117"/>
      <c r="BD54" s="117"/>
    </row>
    <row r="55" spans="1:56" ht="31.5">
      <c r="A55" s="66" t="s">
        <v>64</v>
      </c>
      <c r="B55" s="23" t="s">
        <v>65</v>
      </c>
      <c r="C55" s="24" t="s">
        <v>22</v>
      </c>
      <c r="D55" s="27">
        <v>56018.94</v>
      </c>
      <c r="E55" s="26">
        <f t="shared" si="3"/>
        <v>56018.94</v>
      </c>
      <c r="F55" s="26">
        <f>10465.65+245.53+2110.72</f>
        <v>12821.9</v>
      </c>
      <c r="G55" s="26">
        <f>3588.677+3238.799+3000</f>
        <v>9827.4760000000006</v>
      </c>
      <c r="H55" s="26">
        <f>8707.434+3000</f>
        <v>11707.433999999999</v>
      </c>
      <c r="I55" s="26">
        <f>8783.48+1000</f>
        <v>9783.48</v>
      </c>
      <c r="J55" s="26">
        <f>1860.662+1000</f>
        <v>2860.6620000000003</v>
      </c>
      <c r="K55" s="26">
        <f>4623.019+1000</f>
        <v>5623.0190000000002</v>
      </c>
      <c r="L55" s="26">
        <f>2194.972+1000+100</f>
        <v>3294.9720000000002</v>
      </c>
      <c r="M55" s="26"/>
      <c r="N55" s="27">
        <f>49481+7056</f>
        <v>56537</v>
      </c>
      <c r="O55" s="28">
        <f>N55-E55</f>
        <v>518.05999999999767</v>
      </c>
      <c r="P55" s="29">
        <f t="shared" si="4"/>
        <v>0.92479436419182093</v>
      </c>
      <c r="R55" s="67"/>
      <c r="S55" s="17"/>
      <c r="T55" s="18"/>
      <c r="U55" s="18"/>
      <c r="V55" s="18"/>
      <c r="W55" s="18"/>
      <c r="X55" s="68" t="s">
        <v>66</v>
      </c>
      <c r="Y55" s="1" t="s">
        <v>64</v>
      </c>
      <c r="Z55" s="1" t="s">
        <v>65</v>
      </c>
      <c r="AA55" s="1" t="s">
        <v>22</v>
      </c>
      <c r="AB55" s="30">
        <v>56018.94</v>
      </c>
      <c r="AC55" s="30">
        <v>56018.94</v>
      </c>
      <c r="AD55" s="30">
        <v>10465.65</v>
      </c>
      <c r="AE55" s="30">
        <v>14822.699000000001</v>
      </c>
      <c r="AF55" s="30">
        <v>8707.4339999999993</v>
      </c>
      <c r="AG55" s="30">
        <v>8799.3719999999994</v>
      </c>
      <c r="AH55" s="30">
        <v>1860.662</v>
      </c>
      <c r="AI55" s="30">
        <v>4623.0190000000002</v>
      </c>
      <c r="AJ55" s="30">
        <v>2194.9720000000002</v>
      </c>
      <c r="AK55" s="30"/>
      <c r="AL55" s="69">
        <v>51473.807999999997</v>
      </c>
      <c r="AM55" s="30">
        <v>-4545.1320000000051</v>
      </c>
      <c r="AN55" s="31">
        <v>-8.1135630199357678</v>
      </c>
      <c r="AP55" s="69">
        <f>AL55+9000</f>
        <v>60473.807999999997</v>
      </c>
      <c r="AZ55" s="30" t="s">
        <v>67</v>
      </c>
      <c r="BB55" s="118"/>
      <c r="BC55" s="1" t="s">
        <v>261</v>
      </c>
      <c r="BD55" s="123" t="s">
        <v>274</v>
      </c>
    </row>
    <row r="56" spans="1:56">
      <c r="A56" s="66" t="s">
        <v>68</v>
      </c>
      <c r="B56" s="48" t="s">
        <v>69</v>
      </c>
      <c r="C56" s="24" t="s">
        <v>22</v>
      </c>
      <c r="D56" s="27" t="e">
        <f>#REF!+#REF!</f>
        <v>#REF!</v>
      </c>
      <c r="E56" s="26">
        <v>5545.87</v>
      </c>
      <c r="F56" s="27" t="e">
        <f>#REF!+#REF!</f>
        <v>#REF!</v>
      </c>
      <c r="G56" s="27" t="e">
        <f>#REF!+#REF!</f>
        <v>#REF!</v>
      </c>
      <c r="H56" s="27" t="e">
        <f>#REF!+#REF!</f>
        <v>#REF!</v>
      </c>
      <c r="I56" s="27" t="e">
        <f>#REF!+#REF!</f>
        <v>#REF!</v>
      </c>
      <c r="J56" s="27" t="e">
        <f>#REF!+#REF!</f>
        <v>#REF!</v>
      </c>
      <c r="K56" s="27" t="e">
        <f>#REF!+#REF!</f>
        <v>#REF!</v>
      </c>
      <c r="L56" s="27" t="e">
        <f>#REF!+#REF!</f>
        <v>#REF!</v>
      </c>
      <c r="M56" s="27"/>
      <c r="N56" s="27">
        <f>N55*9.9%</f>
        <v>5597.1630000000005</v>
      </c>
      <c r="O56" s="28">
        <f t="shared" si="2"/>
        <v>51.293000000000575</v>
      </c>
      <c r="P56" s="29">
        <f t="shared" si="4"/>
        <v>0.92488644703176548</v>
      </c>
      <c r="R56" s="70"/>
      <c r="S56" s="18"/>
      <c r="T56" s="18"/>
      <c r="U56" s="18"/>
      <c r="V56" s="18"/>
      <c r="W56" s="18"/>
      <c r="X56" s="67"/>
      <c r="Y56" s="1" t="s">
        <v>68</v>
      </c>
      <c r="Z56" s="1" t="s">
        <v>69</v>
      </c>
      <c r="AA56" s="1" t="s">
        <v>22</v>
      </c>
      <c r="AB56" s="30">
        <v>5545.8739999999998</v>
      </c>
      <c r="AC56" s="30">
        <v>5545.8739999999998</v>
      </c>
      <c r="AD56" s="30">
        <v>1028.479</v>
      </c>
      <c r="AE56" s="30">
        <v>1453.5140000000001</v>
      </c>
      <c r="AF56" s="30">
        <v>863.21100000000001</v>
      </c>
      <c r="AG56" s="30">
        <v>849.10699999999997</v>
      </c>
      <c r="AH56" s="30">
        <v>184.20600000000002</v>
      </c>
      <c r="AI56" s="30">
        <v>448.80700000000002</v>
      </c>
      <c r="AJ56" s="30">
        <v>217.30200000000002</v>
      </c>
      <c r="AK56" s="30"/>
      <c r="AL56" s="30">
        <v>5044.6260000000002</v>
      </c>
      <c r="AM56" s="30">
        <v>-501.24799999999959</v>
      </c>
      <c r="AN56" s="31">
        <v>-9.0382147160213151</v>
      </c>
      <c r="BB56" s="118"/>
      <c r="BD56" s="118"/>
    </row>
    <row r="57" spans="1:56" s="18" customFormat="1" ht="23.25" customHeight="1">
      <c r="A57" s="11" t="s">
        <v>70</v>
      </c>
      <c r="B57" s="50" t="s">
        <v>71</v>
      </c>
      <c r="C57" s="13" t="s">
        <v>22</v>
      </c>
      <c r="D57" s="71">
        <v>10265.700000000001</v>
      </c>
      <c r="E57" s="113">
        <f t="shared" si="3"/>
        <v>10265.700000000001</v>
      </c>
      <c r="F57" s="14">
        <f>4715.75+245.23</f>
        <v>4960.9799999999996</v>
      </c>
      <c r="G57" s="14">
        <f>1306.641</f>
        <v>1306.6410000000001</v>
      </c>
      <c r="H57" s="14">
        <f>365.067+2059.547</f>
        <v>2424.614</v>
      </c>
      <c r="I57" s="14">
        <v>7.6</v>
      </c>
      <c r="J57" s="14">
        <v>2652.6379999999999</v>
      </c>
      <c r="K57" s="14">
        <v>29.524999999999999</v>
      </c>
      <c r="L57" s="14"/>
      <c r="M57" s="14"/>
      <c r="N57" s="51">
        <f>11698.18-88</f>
        <v>11610.18</v>
      </c>
      <c r="O57" s="15">
        <f t="shared" si="2"/>
        <v>1344.4799999999996</v>
      </c>
      <c r="P57" s="16">
        <f t="shared" si="4"/>
        <v>13.096817557497292</v>
      </c>
      <c r="Q57" s="18" t="s">
        <v>72</v>
      </c>
      <c r="S57" s="2"/>
      <c r="T57" s="2"/>
      <c r="U57" s="2"/>
      <c r="V57" s="2"/>
      <c r="W57" s="2"/>
      <c r="X57" s="67">
        <v>8484.1299999999992</v>
      </c>
      <c r="Y57" s="18" t="s">
        <v>73</v>
      </c>
      <c r="Z57" s="18" t="s">
        <v>74</v>
      </c>
      <c r="AA57" s="18" t="s">
        <v>22</v>
      </c>
      <c r="AB57" s="17">
        <v>2520.8519999999999</v>
      </c>
      <c r="AC57" s="17">
        <v>2520.8519999999999</v>
      </c>
      <c r="AD57" s="17">
        <v>451.66699999999997</v>
      </c>
      <c r="AE57" s="17">
        <v>651.78600000000006</v>
      </c>
      <c r="AF57" s="17">
        <v>389.29</v>
      </c>
      <c r="AG57" s="17">
        <v>383.69799999999998</v>
      </c>
      <c r="AH57" s="17">
        <v>83.195999999999998</v>
      </c>
      <c r="AI57" s="17">
        <v>203.898</v>
      </c>
      <c r="AJ57" s="17">
        <v>89.652000000000001</v>
      </c>
      <c r="AK57" s="17"/>
      <c r="AL57" s="17">
        <v>2253.1869999999999</v>
      </c>
      <c r="AM57" s="17">
        <v>-267.66499999999996</v>
      </c>
      <c r="AN57" s="19">
        <v>-10.618037076353545</v>
      </c>
      <c r="BB57" s="117"/>
      <c r="BD57" s="123" t="s">
        <v>275</v>
      </c>
    </row>
    <row r="58" spans="1:56" s="18" customFormat="1" ht="47.25">
      <c r="A58" s="11" t="s">
        <v>75</v>
      </c>
      <c r="B58" s="12" t="s">
        <v>76</v>
      </c>
      <c r="C58" s="13" t="s">
        <v>22</v>
      </c>
      <c r="D58" s="71">
        <v>0</v>
      </c>
      <c r="E58" s="14">
        <f t="shared" si="3"/>
        <v>0</v>
      </c>
      <c r="F58" s="14"/>
      <c r="G58" s="14"/>
      <c r="H58" s="14"/>
      <c r="I58" s="14"/>
      <c r="J58" s="14"/>
      <c r="K58" s="14"/>
      <c r="L58" s="14"/>
      <c r="M58" s="14"/>
      <c r="N58" s="51">
        <v>0</v>
      </c>
      <c r="O58" s="15">
        <f t="shared" si="2"/>
        <v>0</v>
      </c>
      <c r="P58" s="16"/>
      <c r="S58" s="2"/>
      <c r="T58" s="39"/>
      <c r="U58" s="2"/>
      <c r="V58" s="2"/>
      <c r="W58" s="2"/>
      <c r="X58" s="72"/>
      <c r="Y58" s="18" t="s">
        <v>77</v>
      </c>
      <c r="Z58" s="18" t="s">
        <v>78</v>
      </c>
      <c r="AA58" s="18" t="s">
        <v>22</v>
      </c>
      <c r="AB58" s="17">
        <v>3025.0219999999999</v>
      </c>
      <c r="AC58" s="17">
        <v>3025.0219999999999</v>
      </c>
      <c r="AD58" s="17">
        <v>576.81200000000001</v>
      </c>
      <c r="AE58" s="17">
        <v>801.72799999999995</v>
      </c>
      <c r="AF58" s="17">
        <v>473.92099999999999</v>
      </c>
      <c r="AG58" s="17">
        <v>465.40899999999999</v>
      </c>
      <c r="AH58" s="17">
        <v>101.01</v>
      </c>
      <c r="AI58" s="17">
        <v>244.90899999999999</v>
      </c>
      <c r="AJ58" s="17">
        <v>127.65</v>
      </c>
      <c r="AK58" s="17"/>
      <c r="AL58" s="17">
        <v>2791.4390000000003</v>
      </c>
      <c r="AM58" s="17">
        <v>-233.58299999999963</v>
      </c>
      <c r="AN58" s="19">
        <v>-7.7216959083272627</v>
      </c>
      <c r="BB58" s="117"/>
      <c r="BD58" s="117"/>
    </row>
    <row r="59" spans="1:56" s="18" customFormat="1">
      <c r="A59" s="11" t="s">
        <v>79</v>
      </c>
      <c r="B59" s="50" t="s">
        <v>80</v>
      </c>
      <c r="C59" s="13" t="s">
        <v>22</v>
      </c>
      <c r="D59" s="51">
        <f>D60+D61+D65+D76+D78+D81</f>
        <v>3365.0482999999999</v>
      </c>
      <c r="E59" s="14">
        <f>D59</f>
        <v>3365.0482999999999</v>
      </c>
      <c r="F59" s="51" t="e">
        <f>F60+F61+F65+F76+F78+#REF!+#REF!+F81+#REF!+F75</f>
        <v>#REF!</v>
      </c>
      <c r="G59" s="51" t="e">
        <f>G60+G61+G65+G76+G78+#REF!+#REF!+G81+#REF!+G75</f>
        <v>#REF!</v>
      </c>
      <c r="H59" s="51" t="e">
        <f>H60+H61+H65+H76+H78+#REF!+#REF!+H81+#REF!+H75</f>
        <v>#REF!</v>
      </c>
      <c r="I59" s="51" t="e">
        <f>I60+I61+I65+I76+I78+#REF!+#REF!+I81+#REF!+I75</f>
        <v>#REF!</v>
      </c>
      <c r="J59" s="51" t="e">
        <f>J60+J61+J65+J76+J78+#REF!+#REF!+J81+#REF!+J75</f>
        <v>#REF!</v>
      </c>
      <c r="K59" s="51" t="e">
        <f>K60+K61+K65+K76+K78+#REF!+#REF!+K81+#REF!+K75</f>
        <v>#REF!</v>
      </c>
      <c r="L59" s="51" t="e">
        <f>L60+L61+L65+L76+L78+#REF!+#REF!+L81+#REF!+L75</f>
        <v>#REF!</v>
      </c>
      <c r="M59" s="51" t="e">
        <f>M60+M61+M65+M76+M78+#REF!+#REF!+M81+#REF!+M75</f>
        <v>#REF!</v>
      </c>
      <c r="N59" s="51">
        <f>N60+N61+N65+N76+N78+N81</f>
        <v>4114.9470000000001</v>
      </c>
      <c r="O59" s="15">
        <f t="shared" si="2"/>
        <v>749.89870000000019</v>
      </c>
      <c r="P59" s="16">
        <f t="shared" si="4"/>
        <v>22.2849312445233</v>
      </c>
      <c r="S59" s="2"/>
      <c r="T59" s="39"/>
      <c r="U59" s="2"/>
      <c r="V59" s="2"/>
      <c r="W59" s="2"/>
      <c r="X59" s="72"/>
      <c r="Y59" s="18" t="s">
        <v>70</v>
      </c>
      <c r="Z59" s="18" t="s">
        <v>71</v>
      </c>
      <c r="AA59" s="18" t="s">
        <v>22</v>
      </c>
      <c r="AB59" s="73">
        <v>10265.700000000001</v>
      </c>
      <c r="AC59" s="17">
        <v>10265.700000000001</v>
      </c>
      <c r="AD59" s="17">
        <v>4715.75</v>
      </c>
      <c r="AE59" s="17">
        <v>1306.6410000000001</v>
      </c>
      <c r="AF59" s="17">
        <v>2424.614</v>
      </c>
      <c r="AG59" s="17">
        <v>7.6</v>
      </c>
      <c r="AH59" s="17"/>
      <c r="AI59" s="17">
        <v>29.524999999999999</v>
      </c>
      <c r="AJ59" s="17"/>
      <c r="AK59" s="17"/>
      <c r="AL59" s="74">
        <v>8484.1299999999992</v>
      </c>
      <c r="AM59" s="17">
        <v>-1781.5700000000015</v>
      </c>
      <c r="AN59" s="19">
        <v>-17.35458858139242</v>
      </c>
      <c r="BA59" s="17"/>
      <c r="BB59" s="120"/>
      <c r="BD59" s="117"/>
    </row>
    <row r="60" spans="1:56">
      <c r="A60" s="66" t="s">
        <v>81</v>
      </c>
      <c r="B60" s="48" t="s">
        <v>82</v>
      </c>
      <c r="C60" s="24" t="s">
        <v>22</v>
      </c>
      <c r="D60" s="75">
        <v>58.859000000000002</v>
      </c>
      <c r="E60" s="25">
        <f t="shared" si="3"/>
        <v>58.859000000000002</v>
      </c>
      <c r="F60" s="26">
        <f>11.405</f>
        <v>11.404999999999999</v>
      </c>
      <c r="G60" s="26"/>
      <c r="H60" s="26">
        <f>11.405+1.129+1.669+0.348+0.278+13.861</f>
        <v>28.69</v>
      </c>
      <c r="I60" s="26"/>
      <c r="J60" s="26"/>
      <c r="K60" s="26"/>
      <c r="L60" s="26"/>
      <c r="M60" s="26"/>
      <c r="N60" s="27">
        <v>40.1</v>
      </c>
      <c r="O60" s="28">
        <f t="shared" si="2"/>
        <v>-18.759</v>
      </c>
      <c r="P60" s="29">
        <f t="shared" si="4"/>
        <v>-31.87108173771216</v>
      </c>
      <c r="X60" s="68">
        <v>40.1</v>
      </c>
      <c r="Y60" s="1" t="s">
        <v>75</v>
      </c>
      <c r="Z60" s="1" t="s">
        <v>76</v>
      </c>
      <c r="AA60" s="1" t="s">
        <v>22</v>
      </c>
      <c r="AB60" s="76">
        <v>0</v>
      </c>
      <c r="AC60" s="30">
        <v>0</v>
      </c>
      <c r="AD60" s="30"/>
      <c r="AE60" s="30"/>
      <c r="AF60" s="30"/>
      <c r="AG60" s="30"/>
      <c r="AH60" s="30"/>
      <c r="AI60" s="30"/>
      <c r="AJ60" s="30"/>
      <c r="AK60" s="30"/>
      <c r="AL60" s="30"/>
      <c r="AM60" s="30">
        <v>0</v>
      </c>
      <c r="AN60" s="31"/>
      <c r="BB60" s="118"/>
      <c r="BD60" s="123" t="s">
        <v>276</v>
      </c>
    </row>
    <row r="61" spans="1:56" ht="31.5">
      <c r="A61" s="66" t="s">
        <v>83</v>
      </c>
      <c r="B61" s="48" t="s">
        <v>84</v>
      </c>
      <c r="C61" s="24" t="s">
        <v>22</v>
      </c>
      <c r="D61" s="75">
        <v>605.06500000000005</v>
      </c>
      <c r="E61" s="25">
        <f t="shared" si="3"/>
        <v>605.06500000000005</v>
      </c>
      <c r="F61" s="26">
        <f t="shared" ref="F61:L61" si="7">F62+F63+F64</f>
        <v>152.68299999999999</v>
      </c>
      <c r="G61" s="26">
        <f t="shared" si="7"/>
        <v>159.95400000000001</v>
      </c>
      <c r="H61" s="26">
        <f t="shared" si="7"/>
        <v>208.85899999999998</v>
      </c>
      <c r="I61" s="26">
        <f t="shared" si="7"/>
        <v>0</v>
      </c>
      <c r="J61" s="26">
        <f t="shared" si="7"/>
        <v>80.715000000000003</v>
      </c>
      <c r="K61" s="26">
        <f t="shared" si="7"/>
        <v>0</v>
      </c>
      <c r="L61" s="26">
        <f t="shared" si="7"/>
        <v>0</v>
      </c>
      <c r="M61" s="26"/>
      <c r="N61" s="27">
        <f>N62+N63+N64</f>
        <v>1427.4370000000001</v>
      </c>
      <c r="O61" s="28">
        <f t="shared" si="2"/>
        <v>822.37200000000007</v>
      </c>
      <c r="P61" s="29">
        <f t="shared" si="4"/>
        <v>135.91465379752589</v>
      </c>
      <c r="Q61" s="30"/>
      <c r="S61" s="2"/>
      <c r="T61" s="39"/>
      <c r="U61" s="2"/>
      <c r="V61" s="2"/>
      <c r="W61" s="2"/>
      <c r="X61" s="67"/>
      <c r="Y61" s="1" t="s">
        <v>79</v>
      </c>
      <c r="Z61" s="1" t="s">
        <v>80</v>
      </c>
      <c r="AA61" s="1" t="s">
        <v>22</v>
      </c>
      <c r="AB61" s="30">
        <v>3365.0482999999999</v>
      </c>
      <c r="AC61" s="30">
        <v>3365.0482999999999</v>
      </c>
      <c r="AD61" s="30">
        <v>1251.7329999999999</v>
      </c>
      <c r="AE61" s="30">
        <v>1090.5719999999999</v>
      </c>
      <c r="AF61" s="30">
        <v>711.36399999999992</v>
      </c>
      <c r="AG61" s="30">
        <v>438.464</v>
      </c>
      <c r="AH61" s="30">
        <v>80.715000000000003</v>
      </c>
      <c r="AI61" s="30">
        <v>196.75200000000001</v>
      </c>
      <c r="AJ61" s="30">
        <v>29.693999999999999</v>
      </c>
      <c r="AK61" s="30">
        <v>0</v>
      </c>
      <c r="AL61" s="30">
        <v>3799.293999999999</v>
      </c>
      <c r="AM61" s="30">
        <v>434.24569999999903</v>
      </c>
      <c r="AN61" s="31">
        <v>12.904590403650346</v>
      </c>
      <c r="BB61" s="118"/>
      <c r="BD61" s="123" t="s">
        <v>277</v>
      </c>
    </row>
    <row r="62" spans="1:56" s="2" customFormat="1" hidden="1">
      <c r="A62" s="57" t="s">
        <v>85</v>
      </c>
      <c r="B62" s="77" t="s">
        <v>86</v>
      </c>
      <c r="C62" s="34" t="s">
        <v>22</v>
      </c>
      <c r="D62" s="47"/>
      <c r="E62" s="26">
        <f t="shared" si="3"/>
        <v>0</v>
      </c>
      <c r="F62" s="41">
        <v>71.125</v>
      </c>
      <c r="G62" s="41"/>
      <c r="H62" s="41">
        <v>106</v>
      </c>
      <c r="I62" s="41"/>
      <c r="J62" s="41">
        <v>7</v>
      </c>
      <c r="K62" s="41"/>
      <c r="L62" s="41"/>
      <c r="M62" s="41"/>
      <c r="N62" s="75">
        <v>376.375</v>
      </c>
      <c r="O62" s="28">
        <f t="shared" si="2"/>
        <v>376.375</v>
      </c>
      <c r="P62" s="29"/>
      <c r="R62" s="39"/>
      <c r="X62" s="78"/>
      <c r="Y62" s="2" t="s">
        <v>81</v>
      </c>
      <c r="Z62" s="2" t="s">
        <v>82</v>
      </c>
      <c r="AA62" s="2" t="s">
        <v>22</v>
      </c>
      <c r="AB62" s="63">
        <v>58.859000000000002</v>
      </c>
      <c r="AC62" s="39">
        <v>58.859000000000002</v>
      </c>
      <c r="AD62" s="39">
        <v>11.404999999999999</v>
      </c>
      <c r="AE62" s="39"/>
      <c r="AF62" s="39">
        <v>28.69</v>
      </c>
      <c r="AG62" s="39"/>
      <c r="AH62" s="39"/>
      <c r="AI62" s="39"/>
      <c r="AJ62" s="39"/>
      <c r="AK62" s="39"/>
      <c r="AL62" s="79">
        <v>40.094999999999999</v>
      </c>
      <c r="AM62" s="39">
        <v>-18.764000000000003</v>
      </c>
      <c r="AN62" s="40">
        <v>-31.879576615300977</v>
      </c>
      <c r="BB62" s="119"/>
      <c r="BD62" s="119"/>
    </row>
    <row r="63" spans="1:56" s="2" customFormat="1" hidden="1">
      <c r="A63" s="57" t="s">
        <v>87</v>
      </c>
      <c r="B63" s="77" t="s">
        <v>88</v>
      </c>
      <c r="C63" s="34" t="s">
        <v>22</v>
      </c>
      <c r="D63" s="47"/>
      <c r="E63" s="26">
        <f t="shared" si="3"/>
        <v>0</v>
      </c>
      <c r="F63" s="41">
        <v>0.96</v>
      </c>
      <c r="G63" s="41">
        <v>2</v>
      </c>
      <c r="H63" s="41">
        <v>22.260999999999999</v>
      </c>
      <c r="I63" s="41"/>
      <c r="J63" s="41">
        <v>18.568999999999999</v>
      </c>
      <c r="K63" s="41"/>
      <c r="L63" s="41"/>
      <c r="M63" s="41"/>
      <c r="N63" s="27">
        <v>44.79</v>
      </c>
      <c r="O63" s="28">
        <f t="shared" si="2"/>
        <v>44.79</v>
      </c>
      <c r="P63" s="29"/>
      <c r="R63" s="39"/>
      <c r="X63" s="78"/>
      <c r="Y63" s="2" t="s">
        <v>83</v>
      </c>
      <c r="Z63" s="2" t="s">
        <v>84</v>
      </c>
      <c r="AA63" s="2" t="s">
        <v>22</v>
      </c>
      <c r="AB63" s="63">
        <v>605.06500000000005</v>
      </c>
      <c r="AC63" s="39">
        <v>605.06500000000005</v>
      </c>
      <c r="AD63" s="39">
        <v>369.94299999999998</v>
      </c>
      <c r="AE63" s="39">
        <v>159.95400000000001</v>
      </c>
      <c r="AF63" s="39">
        <v>223.59299999999999</v>
      </c>
      <c r="AG63" s="39">
        <v>402.15</v>
      </c>
      <c r="AH63" s="39">
        <v>80.715000000000003</v>
      </c>
      <c r="AI63" s="39">
        <v>161.38800000000001</v>
      </c>
      <c r="AJ63" s="39">
        <v>29.693999999999999</v>
      </c>
      <c r="AK63" s="39"/>
      <c r="AL63" s="39">
        <v>1427.4369999999997</v>
      </c>
      <c r="AM63" s="39">
        <v>822.37199999999962</v>
      </c>
      <c r="AN63" s="40">
        <v>135.9146537975258</v>
      </c>
      <c r="BB63" s="119"/>
      <c r="BD63" s="119"/>
    </row>
    <row r="64" spans="1:56" s="2" customFormat="1" hidden="1">
      <c r="A64" s="57" t="s">
        <v>89</v>
      </c>
      <c r="B64" s="77" t="s">
        <v>90</v>
      </c>
      <c r="C64" s="34" t="s">
        <v>22</v>
      </c>
      <c r="D64" s="47"/>
      <c r="E64" s="26">
        <f t="shared" si="3"/>
        <v>0</v>
      </c>
      <c r="F64" s="41">
        <v>80.597999999999999</v>
      </c>
      <c r="G64" s="41">
        <v>157.95400000000001</v>
      </c>
      <c r="H64" s="41">
        <v>80.597999999999999</v>
      </c>
      <c r="I64" s="41"/>
      <c r="J64" s="41">
        <v>55.146000000000001</v>
      </c>
      <c r="K64" s="41"/>
      <c r="L64" s="41"/>
      <c r="M64" s="41"/>
      <c r="N64" s="75">
        <v>1006.272</v>
      </c>
      <c r="O64" s="28">
        <f t="shared" si="2"/>
        <v>1006.272</v>
      </c>
      <c r="P64" s="29"/>
      <c r="X64" s="78"/>
      <c r="Y64" s="2" t="s">
        <v>85</v>
      </c>
      <c r="Z64" s="2" t="s">
        <v>86</v>
      </c>
      <c r="AA64" s="2" t="s">
        <v>22</v>
      </c>
      <c r="AB64" s="39"/>
      <c r="AC64" s="39">
        <v>0</v>
      </c>
      <c r="AD64" s="39">
        <v>71.125</v>
      </c>
      <c r="AE64" s="39"/>
      <c r="AF64" s="39">
        <v>112.25</v>
      </c>
      <c r="AG64" s="39">
        <v>84</v>
      </c>
      <c r="AH64" s="39">
        <v>7</v>
      </c>
      <c r="AI64" s="39">
        <v>102</v>
      </c>
      <c r="AJ64" s="39"/>
      <c r="AK64" s="39"/>
      <c r="AL64" s="63">
        <v>376.375</v>
      </c>
      <c r="AM64" s="39"/>
      <c r="AN64" s="40"/>
      <c r="BB64" s="119"/>
      <c r="BD64" s="119"/>
    </row>
    <row r="65" spans="1:58" ht="34.5" customHeight="1">
      <c r="A65" s="66" t="s">
        <v>91</v>
      </c>
      <c r="B65" s="48" t="s">
        <v>92</v>
      </c>
      <c r="C65" s="24" t="s">
        <v>22</v>
      </c>
      <c r="D65" s="27">
        <f>D66+D74+D75+D73</f>
        <v>1886.6242999999999</v>
      </c>
      <c r="E65" s="26">
        <f>D65</f>
        <v>1886.6242999999999</v>
      </c>
      <c r="F65" s="26">
        <f t="shared" ref="F65:M65" si="8">E65</f>
        <v>1886.6242999999999</v>
      </c>
      <c r="G65" s="26">
        <f t="shared" si="8"/>
        <v>1886.6242999999999</v>
      </c>
      <c r="H65" s="26">
        <f t="shared" si="8"/>
        <v>1886.6242999999999</v>
      </c>
      <c r="I65" s="26">
        <f t="shared" si="8"/>
        <v>1886.6242999999999</v>
      </c>
      <c r="J65" s="26">
        <f t="shared" si="8"/>
        <v>1886.6242999999999</v>
      </c>
      <c r="K65" s="26">
        <f t="shared" si="8"/>
        <v>1886.6242999999999</v>
      </c>
      <c r="L65" s="26">
        <f t="shared" si="8"/>
        <v>1886.6242999999999</v>
      </c>
      <c r="M65" s="26">
        <f t="shared" si="8"/>
        <v>1886.6242999999999</v>
      </c>
      <c r="N65" s="26">
        <f>N66+N73+N74+N75</f>
        <v>1665.21</v>
      </c>
      <c r="O65" s="28">
        <f>N65-E65</f>
        <v>-221.41429999999991</v>
      </c>
      <c r="P65" s="29">
        <f t="shared" si="4"/>
        <v>-11.73600382439683</v>
      </c>
      <c r="S65" s="2"/>
      <c r="T65" s="2"/>
      <c r="U65" s="2"/>
      <c r="V65" s="2"/>
      <c r="W65" s="2"/>
      <c r="X65" s="67"/>
      <c r="Y65" s="1" t="s">
        <v>87</v>
      </c>
      <c r="Z65" s="1" t="s">
        <v>88</v>
      </c>
      <c r="AA65" s="1" t="s">
        <v>22</v>
      </c>
      <c r="AB65" s="30"/>
      <c r="AC65" s="30">
        <v>0</v>
      </c>
      <c r="AD65" s="30">
        <v>0.96</v>
      </c>
      <c r="AE65" s="30">
        <v>3</v>
      </c>
      <c r="AF65" s="30">
        <v>22.260999999999999</v>
      </c>
      <c r="AG65" s="30"/>
      <c r="AH65" s="30">
        <v>18.568999999999999</v>
      </c>
      <c r="AI65" s="30"/>
      <c r="AJ65" s="30"/>
      <c r="AK65" s="30"/>
      <c r="AL65" s="21">
        <v>44.79</v>
      </c>
      <c r="AM65" s="30"/>
      <c r="AN65" s="31"/>
      <c r="BB65" s="118"/>
      <c r="BD65" s="123" t="s">
        <v>278</v>
      </c>
    </row>
    <row r="66" spans="1:58" s="2" customFormat="1" hidden="1">
      <c r="A66" s="57" t="s">
        <v>93</v>
      </c>
      <c r="B66" s="52" t="s">
        <v>94</v>
      </c>
      <c r="C66" s="34" t="s">
        <v>22</v>
      </c>
      <c r="D66" s="47">
        <f>D67+D68+D69+D70+D71+D72</f>
        <v>1315.3223</v>
      </c>
      <c r="E66" s="26">
        <f>D66</f>
        <v>1315.3223</v>
      </c>
      <c r="F66" s="47">
        <f>F67+F68+F69+F70+F71+F72</f>
        <v>598.37400000000002</v>
      </c>
      <c r="G66" s="47">
        <f t="shared" ref="G66:M66" si="9">G67+G68+G69+G70+G71+G72</f>
        <v>488.70799999999997</v>
      </c>
      <c r="H66" s="47">
        <f t="shared" si="9"/>
        <v>244.07399999999998</v>
      </c>
      <c r="I66" s="47">
        <f t="shared" si="9"/>
        <v>40.844999999999999</v>
      </c>
      <c r="J66" s="47">
        <f t="shared" si="9"/>
        <v>4.5380000000000003</v>
      </c>
      <c r="K66" s="47">
        <f>K67+K68+K69+K70+J71+K72</f>
        <v>39.902000000000001</v>
      </c>
      <c r="L66" s="47">
        <f t="shared" si="9"/>
        <v>0</v>
      </c>
      <c r="M66" s="47">
        <f t="shared" si="9"/>
        <v>0</v>
      </c>
      <c r="N66" s="47">
        <f>SUM(N67:N72)</f>
        <v>1118.42</v>
      </c>
      <c r="O66" s="37">
        <f t="shared" si="2"/>
        <v>-196.90229999999997</v>
      </c>
      <c r="P66" s="29">
        <f t="shared" si="4"/>
        <v>-14.969889889344989</v>
      </c>
      <c r="X66" s="78"/>
      <c r="Y66" s="2" t="s">
        <v>89</v>
      </c>
      <c r="Z66" s="2" t="s">
        <v>90</v>
      </c>
      <c r="AA66" s="2" t="s">
        <v>22</v>
      </c>
      <c r="AB66" s="39"/>
      <c r="AC66" s="39">
        <v>0</v>
      </c>
      <c r="AD66" s="39">
        <v>297.858</v>
      </c>
      <c r="AE66" s="39">
        <v>156.95400000000001</v>
      </c>
      <c r="AF66" s="39">
        <v>89.081999999999994</v>
      </c>
      <c r="AG66" s="39">
        <v>318.14999999999998</v>
      </c>
      <c r="AH66" s="39">
        <v>55.146000000000001</v>
      </c>
      <c r="AI66" s="39">
        <v>59.388000000000005</v>
      </c>
      <c r="AJ66" s="39">
        <v>29.693999999999999</v>
      </c>
      <c r="AK66" s="39"/>
      <c r="AL66" s="63">
        <v>1006.2719999999999</v>
      </c>
      <c r="AM66" s="39"/>
      <c r="AN66" s="40"/>
      <c r="BB66" s="119"/>
      <c r="BD66" s="119"/>
    </row>
    <row r="67" spans="1:58" s="2" customFormat="1" ht="78.75" hidden="1">
      <c r="A67" s="57" t="s">
        <v>95</v>
      </c>
      <c r="B67" s="77" t="s">
        <v>96</v>
      </c>
      <c r="C67" s="34" t="s">
        <v>22</v>
      </c>
      <c r="D67" s="47">
        <v>368.84300000000002</v>
      </c>
      <c r="E67" s="26">
        <f t="shared" si="3"/>
        <v>368.84300000000002</v>
      </c>
      <c r="F67" s="41">
        <v>163</v>
      </c>
      <c r="G67" s="41">
        <v>163</v>
      </c>
      <c r="H67" s="41">
        <v>42.844000000000001</v>
      </c>
      <c r="I67" s="41"/>
      <c r="J67" s="41"/>
      <c r="K67" s="41"/>
      <c r="L67" s="41"/>
      <c r="M67" s="41"/>
      <c r="N67" s="47">
        <f>153.68+215.16</f>
        <v>368.84000000000003</v>
      </c>
      <c r="O67" s="37">
        <f t="shared" si="2"/>
        <v>-2.9999999999859028E-3</v>
      </c>
      <c r="P67" s="29">
        <f t="shared" si="4"/>
        <v>-8.1335419134588496E-4</v>
      </c>
      <c r="Q67" s="39"/>
      <c r="R67" s="39"/>
      <c r="S67" s="39"/>
      <c r="X67" s="78">
        <v>215.16</v>
      </c>
      <c r="Y67" s="2" t="s">
        <v>91</v>
      </c>
      <c r="Z67" s="2" t="s">
        <v>92</v>
      </c>
      <c r="AA67" s="2" t="s">
        <v>22</v>
      </c>
      <c r="AB67" s="39">
        <v>1886.6242999999999</v>
      </c>
      <c r="AC67" s="39">
        <v>1886.6242999999999</v>
      </c>
      <c r="AD67" s="39">
        <v>374.685</v>
      </c>
      <c r="AE67" s="39">
        <v>514.11799999999994</v>
      </c>
      <c r="AF67" s="39">
        <v>389.08099999999996</v>
      </c>
      <c r="AG67" s="39">
        <v>36.314</v>
      </c>
      <c r="AH67" s="39">
        <v>0</v>
      </c>
      <c r="AI67" s="39">
        <v>35.363999999999997</v>
      </c>
      <c r="AJ67" s="39">
        <v>0</v>
      </c>
      <c r="AK67" s="39"/>
      <c r="AL67" s="39">
        <v>1018.5719999999999</v>
      </c>
      <c r="AM67" s="39">
        <v>-868.05230000000006</v>
      </c>
      <c r="AN67" s="40">
        <v>-46.01087243496228</v>
      </c>
      <c r="BA67" s="39"/>
      <c r="BB67" s="121"/>
      <c r="BC67" s="39"/>
      <c r="BD67" s="119"/>
    </row>
    <row r="68" spans="1:58" s="2" customFormat="1" ht="31.5" hidden="1">
      <c r="A68" s="57" t="s">
        <v>97</v>
      </c>
      <c r="B68" s="77" t="s">
        <v>98</v>
      </c>
      <c r="C68" s="34" t="s">
        <v>22</v>
      </c>
      <c r="D68" s="47">
        <v>207.0343</v>
      </c>
      <c r="E68" s="26">
        <f t="shared" si="3"/>
        <v>207.0343</v>
      </c>
      <c r="F68" s="41">
        <v>44.024999999999999</v>
      </c>
      <c r="G68" s="41">
        <v>126.774</v>
      </c>
      <c r="H68" s="41">
        <f>13.341+22.891</f>
        <v>36.231999999999999</v>
      </c>
      <c r="I68" s="41"/>
      <c r="J68" s="41"/>
      <c r="K68" s="41">
        <v>35.363999999999997</v>
      </c>
      <c r="L68" s="41"/>
      <c r="M68" s="41"/>
      <c r="N68" s="47">
        <v>207.03</v>
      </c>
      <c r="O68" s="37">
        <f t="shared" si="2"/>
        <v>-4.3000000000006366E-3</v>
      </c>
      <c r="P68" s="29">
        <f t="shared" si="4"/>
        <v>-2.0769505342837571E-3</v>
      </c>
      <c r="X68" s="78"/>
      <c r="Y68" s="2" t="s">
        <v>93</v>
      </c>
      <c r="Z68" s="2" t="s">
        <v>94</v>
      </c>
      <c r="AA68" s="2" t="s">
        <v>22</v>
      </c>
      <c r="AB68" s="39">
        <v>1315.3223</v>
      </c>
      <c r="AC68" s="39">
        <v>1315.3223</v>
      </c>
      <c r="AD68" s="39">
        <v>237.77100000000002</v>
      </c>
      <c r="AE68" s="39">
        <v>399.66199999999998</v>
      </c>
      <c r="AF68" s="39">
        <v>222.40699999999998</v>
      </c>
      <c r="AG68" s="39">
        <v>0</v>
      </c>
      <c r="AH68" s="39">
        <v>0</v>
      </c>
      <c r="AI68" s="39">
        <v>35.363999999999997</v>
      </c>
      <c r="AJ68" s="39">
        <v>0</v>
      </c>
      <c r="AK68" s="39">
        <v>0</v>
      </c>
      <c r="AL68" s="39">
        <v>895.20399999999995</v>
      </c>
      <c r="AM68" s="39">
        <v>-420.11830000000009</v>
      </c>
      <c r="AN68" s="40">
        <v>-31.940331278501105</v>
      </c>
      <c r="BB68" s="119"/>
      <c r="BD68" s="119"/>
    </row>
    <row r="69" spans="1:58" s="2" customFormat="1" ht="31.5" hidden="1">
      <c r="A69" s="57" t="s">
        <v>99</v>
      </c>
      <c r="B69" s="77" t="s">
        <v>100</v>
      </c>
      <c r="C69" s="34" t="s">
        <v>22</v>
      </c>
      <c r="D69" s="47">
        <v>33.935000000000002</v>
      </c>
      <c r="E69" s="26">
        <f t="shared" si="3"/>
        <v>33.935000000000002</v>
      </c>
      <c r="F69" s="41"/>
      <c r="G69" s="41">
        <v>33.936</v>
      </c>
      <c r="H69" s="41"/>
      <c r="I69" s="41"/>
      <c r="J69" s="41"/>
      <c r="K69" s="41"/>
      <c r="L69" s="41"/>
      <c r="M69" s="41"/>
      <c r="N69" s="47">
        <v>33.94</v>
      </c>
      <c r="O69" s="37">
        <f t="shared" si="2"/>
        <v>4.9999999999954525E-3</v>
      </c>
      <c r="P69" s="29">
        <f t="shared" si="4"/>
        <v>1.4734050390438933E-2</v>
      </c>
      <c r="S69" s="80"/>
      <c r="T69" s="1"/>
      <c r="U69" s="1"/>
      <c r="V69" s="1"/>
      <c r="W69" s="1"/>
      <c r="X69" s="78"/>
      <c r="Y69" s="2" t="s">
        <v>95</v>
      </c>
      <c r="Z69" s="2" t="s">
        <v>96</v>
      </c>
      <c r="AA69" s="2" t="s">
        <v>22</v>
      </c>
      <c r="AB69" s="39">
        <v>368.84300000000002</v>
      </c>
      <c r="AC69" s="39">
        <v>368.84300000000002</v>
      </c>
      <c r="AD69" s="39">
        <v>95.082999999999998</v>
      </c>
      <c r="AE69" s="39">
        <v>95.082999999999998</v>
      </c>
      <c r="AF69" s="39">
        <v>24.992000000000001</v>
      </c>
      <c r="AG69" s="39"/>
      <c r="AH69" s="39"/>
      <c r="AI69" s="39"/>
      <c r="AJ69" s="39"/>
      <c r="AK69" s="39"/>
      <c r="AL69" s="39">
        <v>215.15799999999999</v>
      </c>
      <c r="AM69" s="39">
        <v>-153.68500000000003</v>
      </c>
      <c r="AN69" s="40">
        <v>-41.666779632526584</v>
      </c>
      <c r="BB69" s="119"/>
      <c r="BD69" s="119"/>
    </row>
    <row r="70" spans="1:58" s="2" customFormat="1" ht="31.5" hidden="1">
      <c r="A70" s="57" t="s">
        <v>101</v>
      </c>
      <c r="B70" s="77" t="s">
        <v>102</v>
      </c>
      <c r="C70" s="34" t="s">
        <v>22</v>
      </c>
      <c r="D70" s="47">
        <v>318</v>
      </c>
      <c r="E70" s="26">
        <f t="shared" si="3"/>
        <v>318</v>
      </c>
      <c r="F70" s="41">
        <v>106</v>
      </c>
      <c r="G70" s="41">
        <v>106</v>
      </c>
      <c r="H70" s="41">
        <v>106</v>
      </c>
      <c r="I70" s="41"/>
      <c r="J70" s="41"/>
      <c r="K70" s="41"/>
      <c r="L70" s="41"/>
      <c r="M70" s="41"/>
      <c r="N70" s="47">
        <v>318</v>
      </c>
      <c r="O70" s="37">
        <f t="shared" si="2"/>
        <v>0</v>
      </c>
      <c r="P70" s="29">
        <f t="shared" si="4"/>
        <v>0</v>
      </c>
      <c r="S70" s="1"/>
      <c r="T70" s="1"/>
      <c r="U70" s="1"/>
      <c r="V70" s="1"/>
      <c r="W70" s="1"/>
      <c r="X70" s="78"/>
      <c r="Y70" s="2" t="s">
        <v>97</v>
      </c>
      <c r="Z70" s="2" t="s">
        <v>98</v>
      </c>
      <c r="AA70" s="2" t="s">
        <v>22</v>
      </c>
      <c r="AB70" s="39">
        <v>207.0343</v>
      </c>
      <c r="AC70" s="39">
        <v>207.0343</v>
      </c>
      <c r="AD70" s="39">
        <v>36.688000000000002</v>
      </c>
      <c r="AE70" s="39">
        <v>105.645</v>
      </c>
      <c r="AF70" s="39">
        <v>32.417000000000002</v>
      </c>
      <c r="AG70" s="39"/>
      <c r="AH70" s="39"/>
      <c r="AI70" s="39">
        <v>35.363999999999997</v>
      </c>
      <c r="AJ70" s="39"/>
      <c r="AK70" s="39"/>
      <c r="AL70" s="39">
        <v>210.114</v>
      </c>
      <c r="AM70" s="39">
        <v>3.0797000000000025</v>
      </c>
      <c r="AN70" s="40">
        <v>1.4875312931238938</v>
      </c>
      <c r="BB70" s="119"/>
      <c r="BD70" s="119"/>
    </row>
    <row r="71" spans="1:58" s="2" customFormat="1" ht="94.5" hidden="1">
      <c r="A71" s="57" t="s">
        <v>103</v>
      </c>
      <c r="B71" s="77" t="s">
        <v>104</v>
      </c>
      <c r="C71" s="34" t="s">
        <v>22</v>
      </c>
      <c r="D71" s="47">
        <v>190.60900000000001</v>
      </c>
      <c r="E71" s="26">
        <f t="shared" si="3"/>
        <v>190.60900000000001</v>
      </c>
      <c r="F71" s="41">
        <v>72.613</v>
      </c>
      <c r="G71" s="41">
        <v>58.997999999999998</v>
      </c>
      <c r="H71" s="41">
        <v>58.997999999999998</v>
      </c>
      <c r="I71" s="41">
        <v>40.844999999999999</v>
      </c>
      <c r="J71" s="41">
        <v>4.5380000000000003</v>
      </c>
      <c r="K71" s="81">
        <v>13.615</v>
      </c>
      <c r="L71" s="41"/>
      <c r="M71" s="41"/>
      <c r="N71" s="47">
        <f>118+72.61</f>
        <v>190.61</v>
      </c>
      <c r="O71" s="37">
        <f t="shared" si="2"/>
        <v>1.0000000000047748E-3</v>
      </c>
      <c r="P71" s="29">
        <f t="shared" si="4"/>
        <v>5.2463419880738825E-4</v>
      </c>
      <c r="S71" s="1"/>
      <c r="T71" s="1"/>
      <c r="U71" s="1"/>
      <c r="V71" s="1"/>
      <c r="W71" s="1"/>
      <c r="X71" s="78">
        <v>118</v>
      </c>
      <c r="Y71" s="2" t="s">
        <v>99</v>
      </c>
      <c r="Z71" s="2" t="s">
        <v>100</v>
      </c>
      <c r="AA71" s="2" t="s">
        <v>22</v>
      </c>
      <c r="AB71" s="39">
        <v>33.935000000000002</v>
      </c>
      <c r="AC71" s="39">
        <v>33.935000000000002</v>
      </c>
      <c r="AD71" s="39"/>
      <c r="AE71" s="39">
        <v>33.936</v>
      </c>
      <c r="AF71" s="39"/>
      <c r="AG71" s="39"/>
      <c r="AH71" s="39"/>
      <c r="AI71" s="39"/>
      <c r="AJ71" s="39"/>
      <c r="AK71" s="39"/>
      <c r="AL71" s="39">
        <v>33.936</v>
      </c>
      <c r="AM71" s="39">
        <v>9.9999999999766942E-4</v>
      </c>
      <c r="AN71" s="40">
        <v>2.9468100780860595E-3</v>
      </c>
      <c r="BB71" s="119"/>
      <c r="BD71" s="119"/>
    </row>
    <row r="72" spans="1:58" s="2" customFormat="1" ht="31.5" hidden="1">
      <c r="A72" s="57" t="s">
        <v>105</v>
      </c>
      <c r="B72" s="77" t="s">
        <v>106</v>
      </c>
      <c r="C72" s="34" t="s">
        <v>22</v>
      </c>
      <c r="D72" s="47">
        <v>196.90100000000001</v>
      </c>
      <c r="E72" s="26">
        <f t="shared" si="3"/>
        <v>196.90100000000001</v>
      </c>
      <c r="F72" s="41">
        <v>212.73599999999999</v>
      </c>
      <c r="G72" s="41"/>
      <c r="H72" s="41"/>
      <c r="I72" s="41"/>
      <c r="J72" s="41"/>
      <c r="K72" s="41"/>
      <c r="L72" s="41"/>
      <c r="M72" s="41"/>
      <c r="N72" s="47">
        <v>0</v>
      </c>
      <c r="O72" s="37">
        <f t="shared" si="2"/>
        <v>-196.90100000000001</v>
      </c>
      <c r="P72" s="29">
        <f t="shared" si="4"/>
        <v>-100</v>
      </c>
      <c r="S72" s="1"/>
      <c r="T72" s="1"/>
      <c r="U72" s="1"/>
      <c r="V72" s="1"/>
      <c r="W72" s="1"/>
      <c r="X72" s="82">
        <v>0</v>
      </c>
      <c r="Y72" s="2" t="s">
        <v>101</v>
      </c>
      <c r="Z72" s="2" t="s">
        <v>102</v>
      </c>
      <c r="AA72" s="2" t="s">
        <v>22</v>
      </c>
      <c r="AB72" s="39">
        <v>318</v>
      </c>
      <c r="AC72" s="39">
        <v>318</v>
      </c>
      <c r="AD72" s="39">
        <v>106</v>
      </c>
      <c r="AE72" s="39">
        <v>106</v>
      </c>
      <c r="AF72" s="39">
        <v>106</v>
      </c>
      <c r="AG72" s="39"/>
      <c r="AH72" s="39"/>
      <c r="AI72" s="39"/>
      <c r="AJ72" s="39"/>
      <c r="AK72" s="39"/>
      <c r="AL72" s="39">
        <v>318</v>
      </c>
      <c r="AM72" s="39">
        <v>0</v>
      </c>
      <c r="AN72" s="40">
        <v>0</v>
      </c>
      <c r="BB72" s="119"/>
      <c r="BD72" s="119"/>
    </row>
    <row r="73" spans="1:58" s="2" customFormat="1" hidden="1">
      <c r="A73" s="66" t="s">
        <v>107</v>
      </c>
      <c r="B73" s="23" t="s">
        <v>108</v>
      </c>
      <c r="C73" s="24" t="s">
        <v>22</v>
      </c>
      <c r="D73" s="47">
        <v>153.30199999999999</v>
      </c>
      <c r="E73" s="26">
        <f t="shared" si="3"/>
        <v>153.30199999999999</v>
      </c>
      <c r="F73" s="41">
        <f>4.464+46.535</f>
        <v>50.998999999999995</v>
      </c>
      <c r="G73" s="41">
        <v>9.2050000000000001</v>
      </c>
      <c r="H73" s="41">
        <f>34.434</f>
        <v>34.433999999999997</v>
      </c>
      <c r="I73" s="41">
        <v>12.147</v>
      </c>
      <c r="J73" s="41"/>
      <c r="K73" s="41"/>
      <c r="L73" s="41"/>
      <c r="M73" s="41"/>
      <c r="N73" s="47">
        <v>128.80000000000001</v>
      </c>
      <c r="O73" s="37">
        <f t="shared" si="2"/>
        <v>-24.501999999999981</v>
      </c>
      <c r="P73" s="29">
        <f t="shared" si="4"/>
        <v>-15.982831274216894</v>
      </c>
      <c r="S73" s="1"/>
      <c r="T73" s="1"/>
      <c r="U73" s="1"/>
      <c r="V73" s="1"/>
      <c r="W73" s="1"/>
      <c r="X73" s="78">
        <v>77.37</v>
      </c>
      <c r="Y73" s="2" t="s">
        <v>103</v>
      </c>
      <c r="Z73" s="2" t="s">
        <v>104</v>
      </c>
      <c r="AA73" s="2" t="s">
        <v>22</v>
      </c>
      <c r="AB73" s="39">
        <v>190.60900000000001</v>
      </c>
      <c r="AC73" s="39">
        <v>190.60900000000001</v>
      </c>
      <c r="AD73" s="39"/>
      <c r="AE73" s="39">
        <v>58.997999999999998</v>
      </c>
      <c r="AF73" s="39">
        <v>58.997999999999998</v>
      </c>
      <c r="AG73" s="39"/>
      <c r="AH73" s="39"/>
      <c r="AJ73" s="39"/>
      <c r="AK73" s="39"/>
      <c r="AL73" s="39">
        <v>117.996</v>
      </c>
      <c r="AM73" s="39">
        <v>-72.613000000000014</v>
      </c>
      <c r="AN73" s="40">
        <v>-38.095263077818998</v>
      </c>
      <c r="BB73" s="119"/>
      <c r="BD73" s="119"/>
    </row>
    <row r="74" spans="1:58" ht="31.5" hidden="1">
      <c r="A74" s="66" t="s">
        <v>109</v>
      </c>
      <c r="B74" s="23" t="s">
        <v>110</v>
      </c>
      <c r="C74" s="24" t="s">
        <v>22</v>
      </c>
      <c r="D74" s="83">
        <v>87</v>
      </c>
      <c r="E74" s="26">
        <f t="shared" si="3"/>
        <v>87</v>
      </c>
      <c r="F74" s="26">
        <f>10.5</f>
        <v>10.5</v>
      </c>
      <c r="G74" s="26">
        <v>10.5</v>
      </c>
      <c r="H74" s="26">
        <f>14.5+10.5</f>
        <v>25</v>
      </c>
      <c r="I74" s="26"/>
      <c r="J74" s="26"/>
      <c r="K74" s="26"/>
      <c r="L74" s="26"/>
      <c r="M74" s="26"/>
      <c r="N74" s="27">
        <f>41+46</f>
        <v>87</v>
      </c>
      <c r="O74" s="28">
        <f t="shared" si="2"/>
        <v>0</v>
      </c>
      <c r="P74" s="29">
        <f t="shared" si="4"/>
        <v>0</v>
      </c>
      <c r="X74" s="68">
        <v>46</v>
      </c>
      <c r="Y74" s="1" t="s">
        <v>105</v>
      </c>
      <c r="Z74" s="1" t="s">
        <v>106</v>
      </c>
      <c r="AA74" s="1" t="s">
        <v>22</v>
      </c>
      <c r="AB74" s="30">
        <v>196.90100000000001</v>
      </c>
      <c r="AC74" s="30">
        <v>196.90100000000001</v>
      </c>
      <c r="AD74" s="30"/>
      <c r="AE74" s="30"/>
      <c r="AF74" s="30"/>
      <c r="AG74" s="30"/>
      <c r="AH74" s="30"/>
      <c r="AI74" s="30"/>
      <c r="AJ74" s="30"/>
      <c r="AK74" s="30"/>
      <c r="AL74" s="30">
        <v>0</v>
      </c>
      <c r="AM74" s="30">
        <v>-196.90100000000001</v>
      </c>
      <c r="AN74" s="31">
        <v>-100</v>
      </c>
      <c r="BB74" s="118"/>
      <c r="BD74" s="118"/>
    </row>
    <row r="75" spans="1:58" ht="31.5">
      <c r="A75" s="66" t="s">
        <v>114</v>
      </c>
      <c r="B75" s="23" t="s">
        <v>112</v>
      </c>
      <c r="C75" s="24" t="s">
        <v>22</v>
      </c>
      <c r="D75" s="27">
        <v>331</v>
      </c>
      <c r="E75" s="26">
        <f t="shared" si="3"/>
        <v>331</v>
      </c>
      <c r="F75" s="26">
        <v>99.495000000000005</v>
      </c>
      <c r="G75" s="26">
        <v>99.495000000000005</v>
      </c>
      <c r="H75" s="26">
        <v>132</v>
      </c>
      <c r="I75" s="26"/>
      <c r="J75" s="26"/>
      <c r="K75" s="26"/>
      <c r="L75" s="26"/>
      <c r="M75" s="26"/>
      <c r="N75" s="27">
        <v>330.99</v>
      </c>
      <c r="O75" s="28">
        <f t="shared" si="2"/>
        <v>-9.9999999999909051E-3</v>
      </c>
      <c r="P75" s="29">
        <f t="shared" si="4"/>
        <v>-3.0211480362510286E-3</v>
      </c>
      <c r="R75" s="30"/>
      <c r="Y75" s="1" t="s">
        <v>107</v>
      </c>
      <c r="Z75" s="1" t="s">
        <v>113</v>
      </c>
      <c r="AA75" s="1" t="s">
        <v>22</v>
      </c>
      <c r="AB75" s="30">
        <v>153.30199999999999</v>
      </c>
      <c r="AC75" s="30">
        <v>153.30199999999999</v>
      </c>
      <c r="AD75" s="30">
        <v>26.919</v>
      </c>
      <c r="AE75" s="30">
        <v>4.4610000000000003</v>
      </c>
      <c r="AF75" s="30">
        <v>9.6739999999999995</v>
      </c>
      <c r="AG75" s="30">
        <v>36.314</v>
      </c>
      <c r="AH75" s="30"/>
      <c r="AI75" s="30"/>
      <c r="AJ75" s="30"/>
      <c r="AK75" s="30"/>
      <c r="AL75" s="30">
        <v>77.367999999999995</v>
      </c>
      <c r="AM75" s="30">
        <v>-75.933999999999997</v>
      </c>
      <c r="AN75" s="31">
        <v>-49.532295729997003</v>
      </c>
      <c r="BB75" s="118"/>
      <c r="BD75" s="118"/>
    </row>
    <row r="76" spans="1:58">
      <c r="A76" s="66" t="s">
        <v>114</v>
      </c>
      <c r="B76" s="23" t="s">
        <v>258</v>
      </c>
      <c r="C76" s="24" t="s">
        <v>22</v>
      </c>
      <c r="D76" s="27">
        <v>307.5</v>
      </c>
      <c r="E76" s="60">
        <f t="shared" si="3"/>
        <v>307.5</v>
      </c>
      <c r="F76" s="26">
        <v>284.7</v>
      </c>
      <c r="G76" s="26">
        <v>130.69999999999999</v>
      </c>
      <c r="H76" s="26"/>
      <c r="I76" s="26"/>
      <c r="J76" s="26"/>
      <c r="K76" s="26"/>
      <c r="L76" s="26"/>
      <c r="M76" s="26"/>
      <c r="N76" s="27">
        <v>475.2</v>
      </c>
      <c r="O76" s="28">
        <f t="shared" ref="O76:O138" si="10">N76-E76</f>
        <v>167.7</v>
      </c>
      <c r="P76" s="29">
        <f t="shared" si="4"/>
        <v>54.536585365853654</v>
      </c>
      <c r="Y76" s="1" t="s">
        <v>109</v>
      </c>
      <c r="Z76" s="1" t="s">
        <v>110</v>
      </c>
      <c r="AA76" s="1" t="s">
        <v>22</v>
      </c>
      <c r="AB76" s="76">
        <v>87</v>
      </c>
      <c r="AC76" s="30">
        <v>87</v>
      </c>
      <c r="AD76" s="30">
        <v>10.5</v>
      </c>
      <c r="AE76" s="30">
        <v>10.5</v>
      </c>
      <c r="AF76" s="30">
        <v>25</v>
      </c>
      <c r="AG76" s="30"/>
      <c r="AH76" s="30"/>
      <c r="AI76" s="30"/>
      <c r="AJ76" s="30"/>
      <c r="AK76" s="30"/>
      <c r="AL76" s="30">
        <v>46</v>
      </c>
      <c r="AM76" s="30">
        <v>-41</v>
      </c>
      <c r="AN76" s="31">
        <v>-47.126436781609193</v>
      </c>
      <c r="BB76" s="118"/>
      <c r="BD76" s="118" t="s">
        <v>280</v>
      </c>
    </row>
    <row r="77" spans="1:58" ht="31.5" hidden="1">
      <c r="A77" s="66" t="s">
        <v>116</v>
      </c>
      <c r="B77" s="23" t="s">
        <v>259</v>
      </c>
      <c r="C77" s="24" t="s">
        <v>22</v>
      </c>
      <c r="D77" s="27"/>
      <c r="E77" s="27">
        <v>0</v>
      </c>
      <c r="F77" s="26"/>
      <c r="G77" s="26"/>
      <c r="H77" s="26"/>
      <c r="I77" s="26"/>
      <c r="J77" s="26"/>
      <c r="K77" s="26"/>
      <c r="L77" s="26"/>
      <c r="M77" s="26"/>
      <c r="N77" s="27">
        <v>0</v>
      </c>
      <c r="O77" s="28">
        <f t="shared" si="10"/>
        <v>0</v>
      </c>
      <c r="P77" s="29"/>
      <c r="AB77" s="76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1"/>
      <c r="BB77" s="118"/>
      <c r="BD77" s="118"/>
    </row>
    <row r="78" spans="1:58">
      <c r="A78" s="66" t="s">
        <v>117</v>
      </c>
      <c r="B78" s="23" t="s">
        <v>124</v>
      </c>
      <c r="C78" s="24" t="s">
        <v>22</v>
      </c>
      <c r="D78" s="27">
        <v>292</v>
      </c>
      <c r="E78" s="26">
        <f t="shared" si="3"/>
        <v>292</v>
      </c>
      <c r="F78" s="26">
        <v>146</v>
      </c>
      <c r="G78" s="26">
        <v>146</v>
      </c>
      <c r="H78" s="26"/>
      <c r="I78" s="26"/>
      <c r="J78" s="26"/>
      <c r="K78" s="26"/>
      <c r="L78" s="26"/>
      <c r="M78" s="26"/>
      <c r="N78" s="27">
        <f>SUM(F78:M78)</f>
        <v>292</v>
      </c>
      <c r="O78" s="28">
        <f>N78-E78</f>
        <v>0</v>
      </c>
      <c r="P78" s="29">
        <f>O78/E78*100</f>
        <v>0</v>
      </c>
      <c r="Y78" s="1" t="s">
        <v>111</v>
      </c>
      <c r="Z78" s="1" t="s">
        <v>112</v>
      </c>
      <c r="AA78" s="1" t="s">
        <v>22</v>
      </c>
      <c r="AB78" s="30">
        <v>331</v>
      </c>
      <c r="AC78" s="30">
        <v>331</v>
      </c>
      <c r="AD78" s="30">
        <v>99.495000000000005</v>
      </c>
      <c r="AE78" s="30">
        <v>99.495000000000005</v>
      </c>
      <c r="AF78" s="30">
        <v>132</v>
      </c>
      <c r="AG78" s="30"/>
      <c r="AH78" s="30"/>
      <c r="AI78" s="30"/>
      <c r="AJ78" s="30"/>
      <c r="AK78" s="30"/>
      <c r="AL78" s="30">
        <v>330.99</v>
      </c>
      <c r="AM78" s="30">
        <v>-9.9999999999909051E-3</v>
      </c>
      <c r="AN78" s="31">
        <v>-3.0211480362538623E-3</v>
      </c>
      <c r="AS78" s="30"/>
      <c r="AT78" s="30"/>
      <c r="AU78" s="30"/>
      <c r="AV78" s="30"/>
      <c r="AW78" s="30"/>
      <c r="AX78" s="30"/>
      <c r="AY78" s="30"/>
      <c r="AZ78" s="30"/>
      <c r="BA78" s="30"/>
      <c r="BB78" s="122"/>
      <c r="BC78" s="30"/>
      <c r="BD78" s="122"/>
      <c r="BE78" s="30"/>
      <c r="BF78" s="31"/>
    </row>
    <row r="79" spans="1:58" hidden="1">
      <c r="A79" s="66"/>
      <c r="B79" s="23"/>
      <c r="C79" s="24"/>
      <c r="D79" s="27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8"/>
      <c r="P79" s="29"/>
      <c r="Y79" s="1" t="s">
        <v>114</v>
      </c>
      <c r="Z79" s="1" t="s">
        <v>115</v>
      </c>
      <c r="AA79" s="1" t="s">
        <v>22</v>
      </c>
      <c r="AB79" s="30">
        <v>307.5</v>
      </c>
      <c r="AC79" s="30">
        <v>307.5</v>
      </c>
      <c r="AD79" s="30">
        <v>284.7</v>
      </c>
      <c r="AE79" s="30">
        <v>190.5</v>
      </c>
      <c r="AF79" s="30"/>
      <c r="AG79" s="30"/>
      <c r="AH79" s="30"/>
      <c r="AI79" s="30"/>
      <c r="AJ79" s="30"/>
      <c r="AK79" s="30"/>
      <c r="AL79" s="30">
        <v>475.2</v>
      </c>
      <c r="AM79" s="30">
        <v>167.7</v>
      </c>
      <c r="AN79" s="31">
        <v>54.536585365853654</v>
      </c>
      <c r="BB79" s="118"/>
      <c r="BD79" s="118"/>
    </row>
    <row r="80" spans="1:58" hidden="1">
      <c r="A80" s="66" t="s">
        <v>117</v>
      </c>
      <c r="B80" s="23" t="s">
        <v>118</v>
      </c>
      <c r="C80" s="24" t="s">
        <v>22</v>
      </c>
      <c r="D80" s="27"/>
      <c r="E80" s="26">
        <v>0</v>
      </c>
      <c r="F80" s="26"/>
      <c r="G80" s="26"/>
      <c r="H80" s="26"/>
      <c r="I80" s="26"/>
      <c r="J80" s="26"/>
      <c r="K80" s="26"/>
      <c r="L80" s="26"/>
      <c r="M80" s="26"/>
      <c r="N80" s="27">
        <v>80</v>
      </c>
      <c r="O80" s="28">
        <f>N80-E80</f>
        <v>80</v>
      </c>
      <c r="P80" s="29"/>
      <c r="BB80" s="118"/>
      <c r="BD80" s="118"/>
    </row>
    <row r="81" spans="1:81">
      <c r="A81" s="66" t="s">
        <v>119</v>
      </c>
      <c r="B81" s="23" t="s">
        <v>120</v>
      </c>
      <c r="C81" s="24" t="s">
        <v>22</v>
      </c>
      <c r="D81" s="27">
        <v>215</v>
      </c>
      <c r="E81" s="26">
        <f t="shared" ref="E81:E142" si="11">D81</f>
        <v>215</v>
      </c>
      <c r="F81" s="26">
        <v>65</v>
      </c>
      <c r="G81" s="26">
        <v>80</v>
      </c>
      <c r="H81" s="26">
        <v>70</v>
      </c>
      <c r="I81" s="26"/>
      <c r="J81" s="26"/>
      <c r="K81" s="26"/>
      <c r="L81" s="26"/>
      <c r="M81" s="26"/>
      <c r="N81" s="27">
        <f>SUM(F81:M81)</f>
        <v>215</v>
      </c>
      <c r="O81" s="28">
        <f>N81-E81</f>
        <v>0</v>
      </c>
      <c r="P81" s="29">
        <f t="shared" ref="P81:P125" si="12">O81/E81*100</f>
        <v>0</v>
      </c>
      <c r="Y81" s="1" t="s">
        <v>119</v>
      </c>
      <c r="Z81" s="1" t="s">
        <v>121</v>
      </c>
      <c r="AA81" s="1" t="s">
        <v>22</v>
      </c>
      <c r="AB81" s="30">
        <v>215</v>
      </c>
      <c r="AC81" s="30">
        <v>215</v>
      </c>
      <c r="AD81" s="30">
        <v>65</v>
      </c>
      <c r="AE81" s="30">
        <v>80</v>
      </c>
      <c r="AF81" s="30">
        <v>70</v>
      </c>
      <c r="AG81" s="30"/>
      <c r="AH81" s="30"/>
      <c r="AI81" s="30"/>
      <c r="AJ81" s="30"/>
      <c r="AK81" s="30"/>
      <c r="AL81" s="30">
        <v>215</v>
      </c>
      <c r="AM81" s="30">
        <v>0</v>
      </c>
      <c r="AN81" s="31">
        <v>0</v>
      </c>
      <c r="BB81" s="118"/>
      <c r="BD81" s="118"/>
    </row>
    <row r="82" spans="1:81" s="18" customFormat="1">
      <c r="A82" s="11" t="s">
        <v>122</v>
      </c>
      <c r="B82" s="50" t="s">
        <v>123</v>
      </c>
      <c r="C82" s="13" t="s">
        <v>22</v>
      </c>
      <c r="D82" s="51">
        <f>D83</f>
        <v>22853.29</v>
      </c>
      <c r="E82" s="14">
        <f>E83</f>
        <v>22891.701000000001</v>
      </c>
      <c r="F82" s="51">
        <f t="shared" ref="F82:L82" si="13">F83</f>
        <v>22891.701000000001</v>
      </c>
      <c r="G82" s="51">
        <f t="shared" si="13"/>
        <v>22891.701000000001</v>
      </c>
      <c r="H82" s="51">
        <f t="shared" si="13"/>
        <v>22891.701000000001</v>
      </c>
      <c r="I82" s="51">
        <f t="shared" si="13"/>
        <v>22891.701000000001</v>
      </c>
      <c r="J82" s="51">
        <f t="shared" si="13"/>
        <v>22891.701000000001</v>
      </c>
      <c r="K82" s="51">
        <f t="shared" si="13"/>
        <v>22891.701000000001</v>
      </c>
      <c r="L82" s="51">
        <f t="shared" si="13"/>
        <v>22891.701000000001</v>
      </c>
      <c r="M82" s="51">
        <f>M83</f>
        <v>22891.701000000001</v>
      </c>
      <c r="N82" s="51">
        <f>N83</f>
        <v>26766.293000000001</v>
      </c>
      <c r="O82" s="15">
        <f t="shared" si="10"/>
        <v>3874.5920000000006</v>
      </c>
      <c r="P82" s="16">
        <f t="shared" si="12"/>
        <v>16.925749641758824</v>
      </c>
      <c r="Q82" s="139"/>
      <c r="R82" s="140"/>
      <c r="S82" s="2"/>
      <c r="T82" s="39"/>
      <c r="U82" s="39"/>
      <c r="V82" s="39"/>
      <c r="W82" s="39"/>
      <c r="X82" s="39"/>
      <c r="Y82" s="2"/>
      <c r="Z82" s="2" t="s">
        <v>124</v>
      </c>
      <c r="AA82" s="2" t="s">
        <v>22</v>
      </c>
      <c r="AB82" s="39"/>
      <c r="AC82" s="39">
        <v>292</v>
      </c>
      <c r="AD82" s="39"/>
      <c r="AE82" s="39"/>
      <c r="AF82" s="39"/>
      <c r="AG82" s="39"/>
      <c r="AH82" s="39"/>
      <c r="AI82" s="39"/>
      <c r="AJ82" s="39"/>
      <c r="AK82" s="39"/>
      <c r="AL82" s="39">
        <v>292</v>
      </c>
      <c r="AM82" s="30">
        <v>0</v>
      </c>
      <c r="AN82" s="31">
        <v>0</v>
      </c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121"/>
      <c r="BC82" s="39"/>
      <c r="BD82" s="121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</row>
    <row r="83" spans="1:81" s="18" customFormat="1" ht="31.5">
      <c r="A83" s="11" t="s">
        <v>125</v>
      </c>
      <c r="B83" s="12" t="s">
        <v>126</v>
      </c>
      <c r="C83" s="13" t="s">
        <v>22</v>
      </c>
      <c r="D83" s="51">
        <f>D84+D85+D86+D87+D91+D92+D102+D103+D107+D108+D110+D115</f>
        <v>22853.29</v>
      </c>
      <c r="E83" s="14">
        <f>E84+E85+E86+E87+E91+E92+E102+E103+E107+E108+E110+E115</f>
        <v>22891.701000000001</v>
      </c>
      <c r="F83" s="14">
        <f t="shared" ref="F83:M83" si="14">E83</f>
        <v>22891.701000000001</v>
      </c>
      <c r="G83" s="14">
        <f t="shared" si="14"/>
        <v>22891.701000000001</v>
      </c>
      <c r="H83" s="14">
        <f t="shared" si="14"/>
        <v>22891.701000000001</v>
      </c>
      <c r="I83" s="14">
        <f t="shared" si="14"/>
        <v>22891.701000000001</v>
      </c>
      <c r="J83" s="14">
        <f t="shared" si="14"/>
        <v>22891.701000000001</v>
      </c>
      <c r="K83" s="14">
        <f t="shared" si="14"/>
        <v>22891.701000000001</v>
      </c>
      <c r="L83" s="14">
        <f t="shared" si="14"/>
        <v>22891.701000000001</v>
      </c>
      <c r="M83" s="14">
        <f t="shared" si="14"/>
        <v>22891.701000000001</v>
      </c>
      <c r="N83" s="14">
        <f>N84+N85+N86+N87+N91+N92+N102+N103+N107+N108+N110+N115</f>
        <v>26766.293000000001</v>
      </c>
      <c r="O83" s="15">
        <f t="shared" si="10"/>
        <v>3874.5920000000006</v>
      </c>
      <c r="P83" s="16">
        <f t="shared" si="12"/>
        <v>16.925749641758824</v>
      </c>
      <c r="Q83" s="139"/>
      <c r="R83" s="140"/>
      <c r="S83" s="1"/>
      <c r="T83" s="1"/>
      <c r="U83" s="30"/>
      <c r="V83" s="1"/>
      <c r="W83" s="97">
        <f>E84+E85+E86+E87+E91+E92+E102+E103+E107+E108+E110+E115</f>
        <v>22891.701000000001</v>
      </c>
      <c r="X83" s="97">
        <f>22891.706-W83</f>
        <v>4.9999999973806553E-3</v>
      </c>
      <c r="Y83" s="18" t="s">
        <v>122</v>
      </c>
      <c r="Z83" s="18" t="s">
        <v>123</v>
      </c>
      <c r="AA83" s="18" t="s">
        <v>22</v>
      </c>
      <c r="AB83" s="17">
        <v>22891.690000000002</v>
      </c>
      <c r="AC83" s="17">
        <v>22891.690000000002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41803.064000000006</v>
      </c>
      <c r="AL83" s="17">
        <v>49872.114000000001</v>
      </c>
      <c r="AM83" s="17">
        <v>26980.423999999999</v>
      </c>
      <c r="AN83" s="19">
        <v>117.86121513964235</v>
      </c>
      <c r="AZ83" s="17"/>
      <c r="BB83" s="117"/>
      <c r="BD83" s="117"/>
    </row>
    <row r="84" spans="1:81" ht="31.5">
      <c r="A84" s="66" t="s">
        <v>127</v>
      </c>
      <c r="B84" s="23" t="s">
        <v>128</v>
      </c>
      <c r="C84" s="24" t="s">
        <v>22</v>
      </c>
      <c r="D84" s="27">
        <v>8745.5400000000009</v>
      </c>
      <c r="E84" s="26">
        <f t="shared" si="11"/>
        <v>8745.5400000000009</v>
      </c>
      <c r="F84" s="26"/>
      <c r="G84" s="26"/>
      <c r="H84" s="26"/>
      <c r="I84" s="26"/>
      <c r="J84" s="26"/>
      <c r="K84" s="26"/>
      <c r="L84" s="26"/>
      <c r="M84" s="26">
        <f>35921.683-12481.81-717.99-13976.34+200+100</f>
        <v>9045.5429999999978</v>
      </c>
      <c r="N84" s="27">
        <v>9046</v>
      </c>
      <c r="O84" s="28">
        <f t="shared" si="10"/>
        <v>300.45999999999913</v>
      </c>
      <c r="P84" s="29">
        <f t="shared" si="12"/>
        <v>3.4355797354994557</v>
      </c>
      <c r="X84" s="84"/>
      <c r="Y84" s="1" t="s">
        <v>125</v>
      </c>
      <c r="Z84" s="1" t="s">
        <v>126</v>
      </c>
      <c r="AA84" s="1" t="s">
        <v>22</v>
      </c>
      <c r="AB84" s="30">
        <v>22891.690000000002</v>
      </c>
      <c r="AC84" s="30">
        <v>22891.690000000002</v>
      </c>
      <c r="AD84" s="30"/>
      <c r="AE84" s="30"/>
      <c r="AF84" s="30"/>
      <c r="AG84" s="30"/>
      <c r="AH84" s="30"/>
      <c r="AI84" s="30"/>
      <c r="AJ84" s="30">
        <v>0</v>
      </c>
      <c r="AK84" s="30">
        <v>41803.064000000006</v>
      </c>
      <c r="AL84" s="30">
        <v>49872.114000000001</v>
      </c>
      <c r="AM84" s="30">
        <v>26980.423999999999</v>
      </c>
      <c r="AN84" s="31">
        <v>117.86121513964235</v>
      </c>
      <c r="BA84" s="30"/>
      <c r="BB84" s="122"/>
      <c r="BD84" s="123" t="s">
        <v>281</v>
      </c>
    </row>
    <row r="85" spans="1:81">
      <c r="A85" s="66" t="s">
        <v>129</v>
      </c>
      <c r="B85" s="23" t="s">
        <v>69</v>
      </c>
      <c r="C85" s="24" t="s">
        <v>22</v>
      </c>
      <c r="D85" s="27">
        <v>865.80799999999999</v>
      </c>
      <c r="E85" s="25">
        <f t="shared" si="11"/>
        <v>865.80799999999999</v>
      </c>
      <c r="F85" s="26" t="e">
        <f>#REF!+#REF!</f>
        <v>#REF!</v>
      </c>
      <c r="G85" s="26" t="e">
        <f>#REF!+#REF!</f>
        <v>#REF!</v>
      </c>
      <c r="H85" s="26" t="e">
        <f>#REF!+#REF!</f>
        <v>#REF!</v>
      </c>
      <c r="I85" s="26" t="e">
        <f>#REF!+#REF!</f>
        <v>#REF!</v>
      </c>
      <c r="J85" s="26" t="e">
        <f>#REF!+#REF!</f>
        <v>#REF!</v>
      </c>
      <c r="K85" s="26" t="e">
        <f>#REF!+#REF!</f>
        <v>#REF!</v>
      </c>
      <c r="L85" s="26" t="e">
        <f>#REF!+#REF!</f>
        <v>#REF!</v>
      </c>
      <c r="M85" s="26" t="e">
        <f>#REF!+#REF!</f>
        <v>#REF!</v>
      </c>
      <c r="N85" s="26">
        <f>N84*9.9%</f>
        <v>895.55400000000009</v>
      </c>
      <c r="O85" s="28">
        <f t="shared" si="10"/>
        <v>29.746000000000095</v>
      </c>
      <c r="P85" s="29">
        <f t="shared" si="12"/>
        <v>3.4356346903701622</v>
      </c>
      <c r="S85" s="2"/>
      <c r="T85" s="2"/>
      <c r="U85" s="2"/>
      <c r="V85" s="2"/>
      <c r="W85" s="2"/>
      <c r="X85" s="84"/>
      <c r="Y85" s="1" t="s">
        <v>127</v>
      </c>
      <c r="Z85" s="85" t="s">
        <v>128</v>
      </c>
      <c r="AA85" s="1" t="s">
        <v>22</v>
      </c>
      <c r="AB85" s="30">
        <v>8745.5400000000009</v>
      </c>
      <c r="AC85" s="30">
        <v>8745.5400000000009</v>
      </c>
      <c r="AD85" s="30"/>
      <c r="AE85" s="30"/>
      <c r="AF85" s="30"/>
      <c r="AG85" s="30"/>
      <c r="AH85" s="30"/>
      <c r="AI85" s="30"/>
      <c r="AJ85" s="30"/>
      <c r="AK85" s="30">
        <v>28442.508999999998</v>
      </c>
      <c r="AL85" s="30">
        <v>28442.508999999998</v>
      </c>
      <c r="AM85" s="30">
        <v>19696.968999999997</v>
      </c>
      <c r="AN85" s="31">
        <v>225.22301653185502</v>
      </c>
      <c r="AO85" s="86">
        <f>AL85-9000</f>
        <v>19442.508999999998</v>
      </c>
      <c r="AP85" s="1" t="s">
        <v>130</v>
      </c>
      <c r="BB85" s="118"/>
      <c r="BD85" s="118"/>
    </row>
    <row r="86" spans="1:81">
      <c r="A86" s="66" t="s">
        <v>131</v>
      </c>
      <c r="B86" s="23" t="s">
        <v>71</v>
      </c>
      <c r="C86" s="24" t="s">
        <v>22</v>
      </c>
      <c r="D86" s="27">
        <v>1120.1300000000001</v>
      </c>
      <c r="E86" s="26">
        <f t="shared" si="11"/>
        <v>1120.1300000000001</v>
      </c>
      <c r="F86" s="26"/>
      <c r="G86" s="26"/>
      <c r="H86" s="26"/>
      <c r="I86" s="26"/>
      <c r="J86" s="26"/>
      <c r="K86" s="26"/>
      <c r="L86" s="26">
        <f>189.999</f>
        <v>189.999</v>
      </c>
      <c r="M86" s="26">
        <f>944.076+21.875</f>
        <v>965.95100000000002</v>
      </c>
      <c r="N86" s="27">
        <v>1120.1300000000001</v>
      </c>
      <c r="O86" s="27">
        <f t="shared" si="10"/>
        <v>0</v>
      </c>
      <c r="P86" s="87">
        <f t="shared" si="12"/>
        <v>0</v>
      </c>
      <c r="X86" s="84">
        <v>833.15</v>
      </c>
      <c r="Y86" s="1" t="s">
        <v>129</v>
      </c>
      <c r="Z86" s="1" t="s">
        <v>69</v>
      </c>
      <c r="AA86" s="1" t="s">
        <v>22</v>
      </c>
      <c r="AB86" s="30">
        <v>865.80799999999999</v>
      </c>
      <c r="AC86" s="30">
        <v>865.80799999999999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2781.4090000000001</v>
      </c>
      <c r="AL86" s="30">
        <v>2781.4090000000001</v>
      </c>
      <c r="AM86" s="30">
        <v>1915.6010000000001</v>
      </c>
      <c r="AN86" s="31">
        <v>221.25009239923867</v>
      </c>
      <c r="BB86" s="118"/>
      <c r="BD86" s="118"/>
    </row>
    <row r="87" spans="1:81" ht="63">
      <c r="A87" s="66" t="s">
        <v>132</v>
      </c>
      <c r="B87" s="23" t="s">
        <v>133</v>
      </c>
      <c r="C87" s="24" t="s">
        <v>22</v>
      </c>
      <c r="D87" s="27">
        <v>112</v>
      </c>
      <c r="E87" s="26">
        <f t="shared" si="11"/>
        <v>112</v>
      </c>
      <c r="F87" s="26"/>
      <c r="G87" s="26"/>
      <c r="H87" s="26"/>
      <c r="I87" s="26"/>
      <c r="J87" s="26"/>
      <c r="K87" s="26"/>
      <c r="L87" s="26"/>
      <c r="M87" s="26">
        <f>SUM(M88:M90)</f>
        <v>148.035</v>
      </c>
      <c r="N87" s="27">
        <v>148.04</v>
      </c>
      <c r="O87" s="27">
        <f t="shared" si="10"/>
        <v>36.039999999999992</v>
      </c>
      <c r="P87" s="29">
        <f t="shared" si="12"/>
        <v>32.178571428571423</v>
      </c>
      <c r="R87" s="30"/>
      <c r="X87" s="84"/>
      <c r="Y87" s="88" t="s">
        <v>134</v>
      </c>
      <c r="Z87" s="1" t="s">
        <v>74</v>
      </c>
      <c r="AA87" s="1" t="s">
        <v>22</v>
      </c>
      <c r="AB87" s="30">
        <v>393.54899999999998</v>
      </c>
      <c r="AC87" s="30">
        <v>393.54899999999998</v>
      </c>
      <c r="AD87" s="30"/>
      <c r="AE87" s="30"/>
      <c r="AF87" s="30"/>
      <c r="AG87" s="30"/>
      <c r="AH87" s="30"/>
      <c r="AI87" s="30"/>
      <c r="AJ87" s="30"/>
      <c r="AK87" s="30">
        <v>1082.4490000000001</v>
      </c>
      <c r="AL87" s="30">
        <v>1082.4490000000001</v>
      </c>
      <c r="AM87" s="30">
        <v>688.90000000000009</v>
      </c>
      <c r="AN87" s="31">
        <v>175.04808803986293</v>
      </c>
      <c r="BB87" s="118"/>
      <c r="BD87" s="123" t="s">
        <v>282</v>
      </c>
    </row>
    <row r="88" spans="1:81" s="2" customFormat="1" hidden="1">
      <c r="A88" s="57" t="s">
        <v>135</v>
      </c>
      <c r="B88" s="77" t="s">
        <v>136</v>
      </c>
      <c r="C88" s="24" t="s">
        <v>22</v>
      </c>
      <c r="D88" s="47"/>
      <c r="E88" s="26">
        <f t="shared" si="11"/>
        <v>0</v>
      </c>
      <c r="F88" s="41"/>
      <c r="G88" s="41"/>
      <c r="H88" s="41"/>
      <c r="I88" s="41"/>
      <c r="J88" s="41"/>
      <c r="K88" s="41"/>
      <c r="L88" s="41"/>
      <c r="M88" s="41">
        <v>15</v>
      </c>
      <c r="N88" s="47"/>
      <c r="O88" s="27">
        <f t="shared" si="10"/>
        <v>0</v>
      </c>
      <c r="P88" s="29"/>
      <c r="X88" s="89"/>
      <c r="Y88" s="2" t="s">
        <v>137</v>
      </c>
      <c r="Z88" s="2" t="s">
        <v>78</v>
      </c>
      <c r="AA88" s="2" t="s">
        <v>22</v>
      </c>
      <c r="AB88" s="39">
        <v>472.25900000000001</v>
      </c>
      <c r="AC88" s="39">
        <v>472.25900000000001</v>
      </c>
      <c r="AD88" s="39"/>
      <c r="AE88" s="39"/>
      <c r="AF88" s="39"/>
      <c r="AG88" s="39"/>
      <c r="AH88" s="39"/>
      <c r="AI88" s="39"/>
      <c r="AJ88" s="39"/>
      <c r="AK88" s="39">
        <v>1698.96</v>
      </c>
      <c r="AL88" s="39">
        <v>1698.96</v>
      </c>
      <c r="AM88" s="39">
        <v>1226.701</v>
      </c>
      <c r="AN88" s="40">
        <v>259.75174639339855</v>
      </c>
      <c r="BB88" s="119"/>
      <c r="BD88" s="119"/>
    </row>
    <row r="89" spans="1:81" s="2" customFormat="1" hidden="1">
      <c r="A89" s="57" t="s">
        <v>138</v>
      </c>
      <c r="B89" s="77" t="s">
        <v>139</v>
      </c>
      <c r="C89" s="24" t="s">
        <v>22</v>
      </c>
      <c r="D89" s="47"/>
      <c r="E89" s="26">
        <f t="shared" si="11"/>
        <v>0</v>
      </c>
      <c r="F89" s="41"/>
      <c r="G89" s="41"/>
      <c r="H89" s="41"/>
      <c r="I89" s="41"/>
      <c r="J89" s="41"/>
      <c r="K89" s="41"/>
      <c r="L89" s="41"/>
      <c r="M89" s="41">
        <f>76.339+20.053</f>
        <v>96.391999999999996</v>
      </c>
      <c r="N89" s="47"/>
      <c r="O89" s="27">
        <f t="shared" si="10"/>
        <v>0</v>
      </c>
      <c r="P89" s="29"/>
      <c r="X89" s="89"/>
      <c r="Y89" s="2" t="s">
        <v>131</v>
      </c>
      <c r="Z89" s="2" t="s">
        <v>71</v>
      </c>
      <c r="AA89" s="2" t="s">
        <v>22</v>
      </c>
      <c r="AB89" s="39">
        <v>1120.1300000000001</v>
      </c>
      <c r="AC89" s="39">
        <v>1120.1300000000001</v>
      </c>
      <c r="AD89" s="39"/>
      <c r="AE89" s="39"/>
      <c r="AF89" s="39"/>
      <c r="AG89" s="39"/>
      <c r="AH89" s="39"/>
      <c r="AI89" s="39"/>
      <c r="AJ89" s="39"/>
      <c r="AK89" s="39">
        <v>833.154</v>
      </c>
      <c r="AL89" s="39">
        <v>833.154</v>
      </c>
      <c r="AM89" s="39">
        <v>-286.97600000000011</v>
      </c>
      <c r="AN89" s="40">
        <v>-25.619883406390343</v>
      </c>
      <c r="BB89" s="119"/>
      <c r="BD89" s="119"/>
    </row>
    <row r="90" spans="1:81" s="2" customFormat="1" hidden="1">
      <c r="A90" s="57" t="s">
        <v>140</v>
      </c>
      <c r="B90" s="77" t="s">
        <v>141</v>
      </c>
      <c r="C90" s="24" t="s">
        <v>22</v>
      </c>
      <c r="D90" s="47"/>
      <c r="E90" s="26">
        <f t="shared" si="11"/>
        <v>0</v>
      </c>
      <c r="F90" s="41"/>
      <c r="G90" s="41"/>
      <c r="H90" s="41"/>
      <c r="I90" s="41"/>
      <c r="J90" s="41"/>
      <c r="K90" s="41"/>
      <c r="L90" s="41"/>
      <c r="M90" s="41">
        <v>36.643000000000001</v>
      </c>
      <c r="N90" s="47"/>
      <c r="O90" s="27">
        <f t="shared" si="10"/>
        <v>0</v>
      </c>
      <c r="P90" s="29"/>
      <c r="X90" s="89"/>
      <c r="Y90" s="2" t="s">
        <v>132</v>
      </c>
      <c r="Z90" s="2" t="s">
        <v>133</v>
      </c>
      <c r="AA90" s="2" t="s">
        <v>22</v>
      </c>
      <c r="AB90" s="39">
        <v>112</v>
      </c>
      <c r="AC90" s="39">
        <v>112</v>
      </c>
      <c r="AD90" s="39"/>
      <c r="AE90" s="39"/>
      <c r="AF90" s="39"/>
      <c r="AG90" s="39"/>
      <c r="AH90" s="39"/>
      <c r="AI90" s="39"/>
      <c r="AJ90" s="39"/>
      <c r="AK90" s="39">
        <v>148.035</v>
      </c>
      <c r="AL90" s="39">
        <v>148.035</v>
      </c>
      <c r="AM90" s="39">
        <v>36.034999999999997</v>
      </c>
      <c r="AN90" s="40">
        <v>32.174107142857139</v>
      </c>
      <c r="BB90" s="119"/>
      <c r="BD90" s="119"/>
    </row>
    <row r="91" spans="1:81">
      <c r="A91" s="66" t="s">
        <v>142</v>
      </c>
      <c r="B91" s="23" t="s">
        <v>143</v>
      </c>
      <c r="C91" s="24" t="s">
        <v>22</v>
      </c>
      <c r="D91" s="27">
        <v>708.90300000000002</v>
      </c>
      <c r="E91" s="26">
        <f t="shared" si="11"/>
        <v>708.90300000000002</v>
      </c>
      <c r="F91" s="26"/>
      <c r="G91" s="26"/>
      <c r="H91" s="26"/>
      <c r="I91" s="26"/>
      <c r="J91" s="26"/>
      <c r="K91" s="26"/>
      <c r="L91" s="26"/>
      <c r="M91" s="26">
        <f>783.59+(36.703-20.053)-371.825+0.96</f>
        <v>429.375</v>
      </c>
      <c r="N91" s="27">
        <f>783.59-74.69-20</f>
        <v>688.90000000000009</v>
      </c>
      <c r="O91" s="27">
        <f t="shared" si="10"/>
        <v>-20.002999999999929</v>
      </c>
      <c r="P91" s="29">
        <f t="shared" si="12"/>
        <v>-2.8216836436014416</v>
      </c>
      <c r="S91" s="2"/>
      <c r="T91" s="2"/>
      <c r="U91" s="2"/>
      <c r="V91" s="2"/>
      <c r="W91" s="2"/>
      <c r="X91" s="84">
        <v>429.38</v>
      </c>
      <c r="Y91" s="1" t="s">
        <v>135</v>
      </c>
      <c r="Z91" s="1" t="s">
        <v>136</v>
      </c>
      <c r="AA91" s="1" t="s">
        <v>22</v>
      </c>
      <c r="AB91" s="30"/>
      <c r="AC91" s="30">
        <v>0</v>
      </c>
      <c r="AD91" s="30"/>
      <c r="AE91" s="30"/>
      <c r="AF91" s="30"/>
      <c r="AG91" s="30"/>
      <c r="AH91" s="30"/>
      <c r="AI91" s="30"/>
      <c r="AJ91" s="30"/>
      <c r="AK91" s="30">
        <v>15</v>
      </c>
      <c r="AL91" s="30"/>
      <c r="AM91" s="30"/>
      <c r="AN91" s="31"/>
      <c r="AZ91" s="1">
        <v>-74.69</v>
      </c>
      <c r="BA91" s="1" t="s">
        <v>144</v>
      </c>
      <c r="BB91" s="118"/>
      <c r="BC91" s="1" t="s">
        <v>263</v>
      </c>
      <c r="BD91" s="118" t="s">
        <v>283</v>
      </c>
    </row>
    <row r="92" spans="1:81">
      <c r="A92" s="66" t="s">
        <v>145</v>
      </c>
      <c r="B92" s="23" t="s">
        <v>82</v>
      </c>
      <c r="C92" s="24" t="s">
        <v>22</v>
      </c>
      <c r="D92" s="27">
        <v>672.6</v>
      </c>
      <c r="E92" s="25">
        <f t="shared" si="11"/>
        <v>672.6</v>
      </c>
      <c r="F92" s="26"/>
      <c r="G92" s="26"/>
      <c r="H92" s="26"/>
      <c r="I92" s="26"/>
      <c r="J92" s="26"/>
      <c r="K92" s="26"/>
      <c r="L92" s="26"/>
      <c r="M92" s="26">
        <f>SUM(M93:M101)</f>
        <v>624.51700000000005</v>
      </c>
      <c r="N92" s="27">
        <f>622.557+24</f>
        <v>646.55700000000002</v>
      </c>
      <c r="O92" s="27">
        <f t="shared" si="10"/>
        <v>-26.043000000000006</v>
      </c>
      <c r="P92" s="29">
        <f t="shared" si="12"/>
        <v>-3.8719892952720789</v>
      </c>
      <c r="S92" s="2"/>
      <c r="T92" s="2"/>
      <c r="U92" s="2"/>
      <c r="V92" s="2"/>
      <c r="W92" s="2"/>
      <c r="X92" s="84">
        <v>624.52</v>
      </c>
      <c r="Y92" s="1" t="s">
        <v>140</v>
      </c>
      <c r="Z92" s="1" t="s">
        <v>141</v>
      </c>
      <c r="AA92" s="1" t="s">
        <v>22</v>
      </c>
      <c r="AB92" s="30"/>
      <c r="AC92" s="30">
        <v>0</v>
      </c>
      <c r="AD92" s="30"/>
      <c r="AE92" s="30"/>
      <c r="AF92" s="30"/>
      <c r="AG92" s="30"/>
      <c r="AH92" s="30"/>
      <c r="AI92" s="30"/>
      <c r="AJ92" s="30"/>
      <c r="AK92" s="30">
        <v>36.643000000000001</v>
      </c>
      <c r="AL92" s="30"/>
      <c r="AM92" s="30"/>
      <c r="AN92" s="31"/>
      <c r="BB92" s="118"/>
      <c r="BC92" s="1" t="s">
        <v>262</v>
      </c>
      <c r="BD92" s="118" t="s">
        <v>276</v>
      </c>
    </row>
    <row r="93" spans="1:81" s="2" customFormat="1" hidden="1">
      <c r="A93" s="57" t="s">
        <v>146</v>
      </c>
      <c r="B93" s="77" t="s">
        <v>147</v>
      </c>
      <c r="C93" s="24" t="s">
        <v>22</v>
      </c>
      <c r="D93" s="47"/>
      <c r="E93" s="26">
        <f t="shared" si="11"/>
        <v>0</v>
      </c>
      <c r="F93" s="41"/>
      <c r="G93" s="41"/>
      <c r="H93" s="41"/>
      <c r="I93" s="41"/>
      <c r="J93" s="41"/>
      <c r="K93" s="41"/>
      <c r="L93" s="41"/>
      <c r="M93" s="41">
        <v>90.733999999999995</v>
      </c>
      <c r="N93" s="47"/>
      <c r="O93" s="47"/>
      <c r="P93" s="29" t="e">
        <f t="shared" si="12"/>
        <v>#DIV/0!</v>
      </c>
      <c r="X93" s="89"/>
      <c r="Y93" s="2" t="s">
        <v>142</v>
      </c>
      <c r="Z93" s="2" t="s">
        <v>143</v>
      </c>
      <c r="AA93" s="2" t="s">
        <v>22</v>
      </c>
      <c r="AB93" s="39">
        <v>708.90300000000002</v>
      </c>
      <c r="AC93" s="39">
        <v>708.90300000000002</v>
      </c>
      <c r="AD93" s="39"/>
      <c r="AE93" s="39"/>
      <c r="AF93" s="39"/>
      <c r="AG93" s="39"/>
      <c r="AH93" s="39"/>
      <c r="AI93" s="39"/>
      <c r="AJ93" s="39"/>
      <c r="AK93" s="39">
        <v>429.375</v>
      </c>
      <c r="AL93" s="39">
        <v>429.375</v>
      </c>
      <c r="AM93" s="39">
        <v>-279.52800000000002</v>
      </c>
      <c r="AN93" s="40">
        <v>-39.431064616738823</v>
      </c>
      <c r="BB93" s="119"/>
      <c r="BD93" s="119"/>
    </row>
    <row r="94" spans="1:81" s="2" customFormat="1" hidden="1">
      <c r="A94" s="57" t="s">
        <v>148</v>
      </c>
      <c r="B94" s="77" t="s">
        <v>149</v>
      </c>
      <c r="C94" s="24" t="s">
        <v>22</v>
      </c>
      <c r="D94" s="47"/>
      <c r="E94" s="26">
        <f t="shared" si="11"/>
        <v>0</v>
      </c>
      <c r="F94" s="41"/>
      <c r="G94" s="41"/>
      <c r="H94" s="41"/>
      <c r="I94" s="41"/>
      <c r="J94" s="41"/>
      <c r="K94" s="41"/>
      <c r="L94" s="41"/>
      <c r="M94" s="41">
        <v>273</v>
      </c>
      <c r="N94" s="47"/>
      <c r="O94" s="47"/>
      <c r="P94" s="29" t="e">
        <f t="shared" si="12"/>
        <v>#DIV/0!</v>
      </c>
      <c r="X94" s="89"/>
      <c r="Y94" s="2" t="s">
        <v>145</v>
      </c>
      <c r="Z94" s="2" t="s">
        <v>82</v>
      </c>
      <c r="AA94" s="2" t="s">
        <v>22</v>
      </c>
      <c r="AB94" s="39">
        <v>672.6</v>
      </c>
      <c r="AC94" s="39">
        <v>672.6</v>
      </c>
      <c r="AD94" s="39"/>
      <c r="AE94" s="39"/>
      <c r="AF94" s="39"/>
      <c r="AG94" s="39"/>
      <c r="AH94" s="39"/>
      <c r="AI94" s="39"/>
      <c r="AJ94" s="39"/>
      <c r="AK94" s="39">
        <v>624.51600000000008</v>
      </c>
      <c r="AL94" s="39">
        <v>624.51600000000008</v>
      </c>
      <c r="AM94" s="39">
        <v>-48.083999999999946</v>
      </c>
      <c r="AN94" s="40">
        <v>-7.1489741302408447</v>
      </c>
      <c r="BB94" s="119"/>
      <c r="BD94" s="119"/>
    </row>
    <row r="95" spans="1:81" s="2" customFormat="1" hidden="1">
      <c r="A95" s="57" t="s">
        <v>150</v>
      </c>
      <c r="B95" s="77" t="s">
        <v>151</v>
      </c>
      <c r="C95" s="24" t="s">
        <v>22</v>
      </c>
      <c r="D95" s="47"/>
      <c r="E95" s="26">
        <f t="shared" si="11"/>
        <v>0</v>
      </c>
      <c r="F95" s="41"/>
      <c r="G95" s="41"/>
      <c r="H95" s="41"/>
      <c r="I95" s="41"/>
      <c r="J95" s="41"/>
      <c r="K95" s="41"/>
      <c r="L95" s="41"/>
      <c r="M95" s="41">
        <v>77.933999999999997</v>
      </c>
      <c r="N95" s="47"/>
      <c r="O95" s="47"/>
      <c r="P95" s="29" t="e">
        <f t="shared" si="12"/>
        <v>#DIV/0!</v>
      </c>
      <c r="X95" s="89"/>
      <c r="Y95" s="2" t="s">
        <v>146</v>
      </c>
      <c r="Z95" s="2" t="s">
        <v>147</v>
      </c>
      <c r="AA95" s="2" t="s">
        <v>22</v>
      </c>
      <c r="AB95" s="39"/>
      <c r="AC95" s="39">
        <v>0</v>
      </c>
      <c r="AD95" s="39"/>
      <c r="AE95" s="39"/>
      <c r="AF95" s="39"/>
      <c r="AG95" s="39"/>
      <c r="AH95" s="39"/>
      <c r="AI95" s="39"/>
      <c r="AJ95" s="39"/>
      <c r="AK95" s="39">
        <v>100.30800000000001</v>
      </c>
      <c r="AL95" s="39"/>
      <c r="AM95" s="39"/>
      <c r="AN95" s="40"/>
      <c r="BB95" s="119"/>
      <c r="BD95" s="119"/>
    </row>
    <row r="96" spans="1:81" s="2" customFormat="1" hidden="1">
      <c r="A96" s="57" t="s">
        <v>152</v>
      </c>
      <c r="B96" s="77" t="s">
        <v>153</v>
      </c>
      <c r="C96" s="24" t="s">
        <v>22</v>
      </c>
      <c r="D96" s="47"/>
      <c r="E96" s="26">
        <f t="shared" si="11"/>
        <v>0</v>
      </c>
      <c r="F96" s="41"/>
      <c r="G96" s="41"/>
      <c r="H96" s="41"/>
      <c r="I96" s="41"/>
      <c r="J96" s="41"/>
      <c r="K96" s="41"/>
      <c r="L96" s="41"/>
      <c r="M96" s="41">
        <v>9.7000000000000003E-2</v>
      </c>
      <c r="N96" s="47"/>
      <c r="O96" s="47"/>
      <c r="P96" s="29" t="e">
        <f t="shared" si="12"/>
        <v>#DIV/0!</v>
      </c>
      <c r="X96" s="89"/>
      <c r="Y96" s="2" t="s">
        <v>148</v>
      </c>
      <c r="Z96" s="2" t="s">
        <v>149</v>
      </c>
      <c r="AA96" s="2" t="s">
        <v>22</v>
      </c>
      <c r="AB96" s="39"/>
      <c r="AC96" s="39">
        <v>0</v>
      </c>
      <c r="AD96" s="39"/>
      <c r="AE96" s="39"/>
      <c r="AF96" s="39"/>
      <c r="AG96" s="39"/>
      <c r="AH96" s="39"/>
      <c r="AI96" s="39"/>
      <c r="AJ96" s="39"/>
      <c r="AK96" s="39">
        <v>303</v>
      </c>
      <c r="AL96" s="39"/>
      <c r="AM96" s="39"/>
      <c r="AN96" s="40"/>
      <c r="BB96" s="119"/>
      <c r="BD96" s="119"/>
    </row>
    <row r="97" spans="1:56" s="2" customFormat="1" hidden="1">
      <c r="A97" s="57" t="s">
        <v>154</v>
      </c>
      <c r="B97" s="77" t="s">
        <v>155</v>
      </c>
      <c r="C97" s="24" t="s">
        <v>22</v>
      </c>
      <c r="D97" s="47"/>
      <c r="E97" s="26">
        <f t="shared" si="11"/>
        <v>0</v>
      </c>
      <c r="F97" s="41"/>
      <c r="G97" s="41"/>
      <c r="H97" s="41"/>
      <c r="I97" s="41"/>
      <c r="J97" s="41"/>
      <c r="K97" s="41"/>
      <c r="L97" s="41"/>
      <c r="M97" s="41">
        <f>14.638+1.958</f>
        <v>16.596</v>
      </c>
      <c r="N97" s="47"/>
      <c r="O97" s="47"/>
      <c r="P97" s="29" t="e">
        <f t="shared" si="12"/>
        <v>#DIV/0!</v>
      </c>
      <c r="S97" s="1"/>
      <c r="T97" s="1"/>
      <c r="U97" s="1"/>
      <c r="V97" s="1"/>
      <c r="W97" s="1"/>
      <c r="X97" s="89"/>
      <c r="Y97" s="2" t="s">
        <v>150</v>
      </c>
      <c r="Z97" s="2" t="s">
        <v>151</v>
      </c>
      <c r="AA97" s="2" t="s">
        <v>22</v>
      </c>
      <c r="AB97" s="39"/>
      <c r="AC97" s="39">
        <v>0</v>
      </c>
      <c r="AD97" s="39"/>
      <c r="AE97" s="39"/>
      <c r="AF97" s="39"/>
      <c r="AG97" s="39"/>
      <c r="AH97" s="39"/>
      <c r="AI97" s="39"/>
      <c r="AJ97" s="39"/>
      <c r="AK97" s="39">
        <v>89.84</v>
      </c>
      <c r="AL97" s="39"/>
      <c r="AM97" s="39"/>
      <c r="AN97" s="40"/>
      <c r="BB97" s="119"/>
      <c r="BD97" s="119"/>
    </row>
    <row r="98" spans="1:56" s="2" customFormat="1" hidden="1">
      <c r="A98" s="57" t="s">
        <v>156</v>
      </c>
      <c r="B98" s="77" t="s">
        <v>157</v>
      </c>
      <c r="C98" s="24" t="s">
        <v>22</v>
      </c>
      <c r="D98" s="47"/>
      <c r="E98" s="26">
        <f t="shared" si="11"/>
        <v>0</v>
      </c>
      <c r="F98" s="41"/>
      <c r="G98" s="41"/>
      <c r="H98" s="41"/>
      <c r="I98" s="41"/>
      <c r="J98" s="41"/>
      <c r="K98" s="41"/>
      <c r="L98" s="41"/>
      <c r="M98" s="41">
        <v>4.867</v>
      </c>
      <c r="N98" s="47"/>
      <c r="O98" s="47"/>
      <c r="P98" s="29" t="e">
        <f t="shared" si="12"/>
        <v>#DIV/0!</v>
      </c>
      <c r="S98" s="1"/>
      <c r="T98" s="1"/>
      <c r="U98" s="1"/>
      <c r="V98" s="1"/>
      <c r="W98" s="1"/>
      <c r="X98" s="89"/>
      <c r="Y98" s="2" t="s">
        <v>152</v>
      </c>
      <c r="Z98" s="2" t="s">
        <v>153</v>
      </c>
      <c r="AA98" s="2" t="s">
        <v>22</v>
      </c>
      <c r="AB98" s="39"/>
      <c r="AC98" s="39">
        <v>0</v>
      </c>
      <c r="AD98" s="39"/>
      <c r="AE98" s="39"/>
      <c r="AF98" s="39"/>
      <c r="AG98" s="39"/>
      <c r="AH98" s="39"/>
      <c r="AI98" s="39"/>
      <c r="AJ98" s="39"/>
      <c r="AK98" s="39">
        <v>0.218</v>
      </c>
      <c r="AL98" s="39"/>
      <c r="AM98" s="39"/>
      <c r="AN98" s="40"/>
      <c r="BB98" s="119"/>
      <c r="BD98" s="119"/>
    </row>
    <row r="99" spans="1:56" s="2" customFormat="1" ht="31.5" hidden="1">
      <c r="A99" s="57" t="s">
        <v>158</v>
      </c>
      <c r="B99" s="77" t="s">
        <v>159</v>
      </c>
      <c r="C99" s="24" t="s">
        <v>22</v>
      </c>
      <c r="D99" s="47"/>
      <c r="E99" s="26">
        <f t="shared" si="11"/>
        <v>0</v>
      </c>
      <c r="F99" s="41"/>
      <c r="G99" s="41"/>
      <c r="H99" s="41"/>
      <c r="I99" s="41"/>
      <c r="J99" s="41"/>
      <c r="K99" s="41"/>
      <c r="L99" s="41"/>
      <c r="M99" s="41">
        <v>83.462000000000003</v>
      </c>
      <c r="N99" s="47"/>
      <c r="O99" s="47"/>
      <c r="P99" s="29" t="e">
        <f t="shared" si="12"/>
        <v>#DIV/0!</v>
      </c>
      <c r="X99" s="89"/>
      <c r="Y99" s="2" t="s">
        <v>154</v>
      </c>
      <c r="Z99" s="2" t="s">
        <v>155</v>
      </c>
      <c r="AA99" s="2" t="s">
        <v>22</v>
      </c>
      <c r="AB99" s="39"/>
      <c r="AC99" s="39">
        <v>0</v>
      </c>
      <c r="AD99" s="39"/>
      <c r="AE99" s="39"/>
      <c r="AF99" s="39"/>
      <c r="AG99" s="39"/>
      <c r="AH99" s="39"/>
      <c r="AI99" s="39"/>
      <c r="AJ99" s="39"/>
      <c r="AK99" s="39">
        <v>17.585999999999999</v>
      </c>
      <c r="AL99" s="39"/>
      <c r="AM99" s="39"/>
      <c r="AN99" s="40"/>
      <c r="BB99" s="119"/>
      <c r="BD99" s="119"/>
    </row>
    <row r="100" spans="1:56" s="2" customFormat="1" hidden="1">
      <c r="A100" s="57" t="s">
        <v>160</v>
      </c>
      <c r="B100" s="77" t="s">
        <v>161</v>
      </c>
      <c r="C100" s="24" t="s">
        <v>22</v>
      </c>
      <c r="D100" s="47"/>
      <c r="E100" s="26">
        <f t="shared" si="11"/>
        <v>0</v>
      </c>
      <c r="F100" s="41"/>
      <c r="G100" s="41"/>
      <c r="H100" s="41"/>
      <c r="I100" s="41"/>
      <c r="J100" s="41"/>
      <c r="K100" s="41"/>
      <c r="L100" s="41"/>
      <c r="M100" s="41">
        <v>63.201999999999998</v>
      </c>
      <c r="N100" s="47"/>
      <c r="O100" s="47"/>
      <c r="P100" s="29" t="e">
        <f t="shared" si="12"/>
        <v>#DIV/0!</v>
      </c>
      <c r="X100" s="89"/>
      <c r="Y100" s="2" t="s">
        <v>156</v>
      </c>
      <c r="Z100" s="2" t="s">
        <v>157</v>
      </c>
      <c r="AA100" s="2" t="s">
        <v>22</v>
      </c>
      <c r="AB100" s="39"/>
      <c r="AC100" s="39">
        <v>0</v>
      </c>
      <c r="AD100" s="39"/>
      <c r="AE100" s="39"/>
      <c r="AF100" s="39"/>
      <c r="AG100" s="39"/>
      <c r="AH100" s="39"/>
      <c r="AI100" s="39"/>
      <c r="AJ100" s="39"/>
      <c r="AK100" s="39">
        <v>5.4020000000000001</v>
      </c>
      <c r="AL100" s="39"/>
      <c r="AM100" s="39"/>
      <c r="AN100" s="40"/>
      <c r="BB100" s="119"/>
      <c r="BD100" s="119"/>
    </row>
    <row r="101" spans="1:56" s="2" customFormat="1" hidden="1">
      <c r="A101" s="57" t="s">
        <v>162</v>
      </c>
      <c r="B101" s="77" t="s">
        <v>163</v>
      </c>
      <c r="C101" s="24" t="s">
        <v>22</v>
      </c>
      <c r="D101" s="47"/>
      <c r="E101" s="26">
        <f t="shared" si="11"/>
        <v>0</v>
      </c>
      <c r="F101" s="41"/>
      <c r="G101" s="41"/>
      <c r="H101" s="41"/>
      <c r="I101" s="41"/>
      <c r="J101" s="41"/>
      <c r="K101" s="41"/>
      <c r="L101" s="41"/>
      <c r="M101" s="41">
        <v>14.625</v>
      </c>
      <c r="N101" s="47"/>
      <c r="O101" s="47"/>
      <c r="P101" s="29" t="e">
        <f t="shared" si="12"/>
        <v>#DIV/0!</v>
      </c>
      <c r="X101" s="89"/>
      <c r="Y101" s="2" t="s">
        <v>158</v>
      </c>
      <c r="Z101" s="2" t="s">
        <v>159</v>
      </c>
      <c r="AA101" s="2" t="s">
        <v>22</v>
      </c>
      <c r="AB101" s="39"/>
      <c r="AC101" s="39">
        <v>0</v>
      </c>
      <c r="AD101" s="39"/>
      <c r="AE101" s="39"/>
      <c r="AF101" s="39"/>
      <c r="AG101" s="39"/>
      <c r="AH101" s="39"/>
      <c r="AI101" s="39"/>
      <c r="AJ101" s="39"/>
      <c r="AK101" s="39">
        <v>91.93</v>
      </c>
      <c r="AL101" s="39"/>
      <c r="AM101" s="39"/>
      <c r="AN101" s="40"/>
      <c r="BB101" s="119"/>
      <c r="BD101" s="119"/>
    </row>
    <row r="102" spans="1:56">
      <c r="A102" s="66" t="s">
        <v>164</v>
      </c>
      <c r="B102" s="23" t="s">
        <v>165</v>
      </c>
      <c r="C102" s="24" t="s">
        <v>22</v>
      </c>
      <c r="D102" s="27">
        <v>376.10700000000003</v>
      </c>
      <c r="E102" s="25">
        <f t="shared" si="11"/>
        <v>376.10700000000003</v>
      </c>
      <c r="F102" s="26">
        <v>10.204000000000001</v>
      </c>
      <c r="G102" s="26">
        <v>2.2189999999999999</v>
      </c>
      <c r="H102" s="26">
        <v>2.226</v>
      </c>
      <c r="I102" s="26">
        <v>4</v>
      </c>
      <c r="J102" s="26">
        <v>4.5149999999999997</v>
      </c>
      <c r="K102" s="26"/>
      <c r="L102" s="26"/>
      <c r="M102" s="26">
        <f>260.325+18.747+188.791</f>
        <v>467.863</v>
      </c>
      <c r="N102" s="27">
        <v>374.56</v>
      </c>
      <c r="O102" s="27">
        <f t="shared" si="10"/>
        <v>-1.5470000000000255</v>
      </c>
      <c r="P102" s="29">
        <f t="shared" si="12"/>
        <v>-0.4113191192931866</v>
      </c>
      <c r="X102" s="84" t="s">
        <v>144</v>
      </c>
      <c r="Y102" s="1" t="s">
        <v>160</v>
      </c>
      <c r="Z102" s="1" t="s">
        <v>161</v>
      </c>
      <c r="AA102" s="1" t="s">
        <v>22</v>
      </c>
      <c r="AB102" s="30"/>
      <c r="AC102" s="30">
        <v>0</v>
      </c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1"/>
      <c r="AZ102" s="1">
        <v>-62</v>
      </c>
      <c r="BB102" s="118"/>
      <c r="BD102" s="118"/>
    </row>
    <row r="103" spans="1:56" ht="31.5">
      <c r="A103" s="66" t="s">
        <v>166</v>
      </c>
      <c r="B103" s="23" t="s">
        <v>84</v>
      </c>
      <c r="C103" s="24" t="s">
        <v>22</v>
      </c>
      <c r="D103" s="27">
        <v>652.1</v>
      </c>
      <c r="E103" s="26">
        <f t="shared" si="11"/>
        <v>652.1</v>
      </c>
      <c r="F103" s="26">
        <f>SUM(F104:F106)</f>
        <v>0</v>
      </c>
      <c r="G103" s="26">
        <f t="shared" ref="G103:L103" si="15">SUM(G104:G106)</f>
        <v>0</v>
      </c>
      <c r="H103" s="26">
        <f t="shared" si="15"/>
        <v>0</v>
      </c>
      <c r="I103" s="26">
        <f t="shared" si="15"/>
        <v>0</v>
      </c>
      <c r="J103" s="26">
        <f t="shared" si="15"/>
        <v>0</v>
      </c>
      <c r="K103" s="26">
        <f t="shared" si="15"/>
        <v>0</v>
      </c>
      <c r="L103" s="26">
        <f t="shared" si="15"/>
        <v>0</v>
      </c>
      <c r="M103" s="26">
        <f>SUM(M104:M106)</f>
        <v>843.23900000000003</v>
      </c>
      <c r="N103" s="26">
        <v>1906.42</v>
      </c>
      <c r="O103" s="27">
        <f t="shared" si="10"/>
        <v>1254.3200000000002</v>
      </c>
      <c r="P103" s="29">
        <f t="shared" si="12"/>
        <v>192.35086643152891</v>
      </c>
      <c r="Q103" s="126"/>
      <c r="R103" s="127"/>
      <c r="S103" s="18"/>
      <c r="T103" s="18"/>
      <c r="U103" s="18"/>
      <c r="V103" s="18"/>
      <c r="W103" s="18"/>
      <c r="X103" s="84"/>
      <c r="Y103" s="1" t="s">
        <v>162</v>
      </c>
      <c r="Z103" s="1" t="s">
        <v>163</v>
      </c>
      <c r="AA103" s="1" t="s">
        <v>22</v>
      </c>
      <c r="AB103" s="30"/>
      <c r="AC103" s="30">
        <v>0</v>
      </c>
      <c r="AD103" s="30"/>
      <c r="AE103" s="30"/>
      <c r="AF103" s="30"/>
      <c r="AG103" s="30"/>
      <c r="AH103" s="30"/>
      <c r="AI103" s="30"/>
      <c r="AJ103" s="30"/>
      <c r="AK103" s="30">
        <v>16.231999999999999</v>
      </c>
      <c r="AL103" s="30"/>
      <c r="AM103" s="30"/>
      <c r="AN103" s="31"/>
      <c r="BB103" s="118"/>
      <c r="BD103" s="123" t="s">
        <v>282</v>
      </c>
    </row>
    <row r="104" spans="1:56" s="2" customFormat="1" hidden="1">
      <c r="A104" s="57" t="s">
        <v>167</v>
      </c>
      <c r="B104" s="77" t="s">
        <v>86</v>
      </c>
      <c r="C104" s="34" t="s">
        <v>22</v>
      </c>
      <c r="D104" s="47"/>
      <c r="E104" s="26">
        <f t="shared" si="11"/>
        <v>0</v>
      </c>
      <c r="F104" s="41"/>
      <c r="G104" s="41"/>
      <c r="H104" s="41"/>
      <c r="I104" s="41"/>
      <c r="J104" s="41"/>
      <c r="K104" s="41"/>
      <c r="L104" s="41"/>
      <c r="M104" s="41">
        <v>340</v>
      </c>
      <c r="N104" s="27">
        <v>640</v>
      </c>
      <c r="O104" s="27">
        <f t="shared" si="10"/>
        <v>640</v>
      </c>
      <c r="P104" s="29"/>
      <c r="Q104" s="136"/>
      <c r="R104" s="137"/>
      <c r="S104" s="1"/>
      <c r="T104" s="1"/>
      <c r="U104" s="1"/>
      <c r="V104" s="1"/>
      <c r="W104" s="1"/>
      <c r="X104" s="89"/>
      <c r="Y104" s="2" t="s">
        <v>164</v>
      </c>
      <c r="Z104" s="2" t="s">
        <v>165</v>
      </c>
      <c r="AA104" s="2" t="s">
        <v>22</v>
      </c>
      <c r="AB104" s="39">
        <v>376.10700000000003</v>
      </c>
      <c r="AC104" s="39">
        <v>376.10700000000003</v>
      </c>
      <c r="AD104" s="39">
        <v>10.204000000000001</v>
      </c>
      <c r="AE104" s="39">
        <v>2.2189999999999999</v>
      </c>
      <c r="AF104" s="39">
        <v>2.226</v>
      </c>
      <c r="AG104" s="39">
        <v>4</v>
      </c>
      <c r="AH104" s="39">
        <v>4.5149999999999997</v>
      </c>
      <c r="AI104" s="39"/>
      <c r="AJ104" s="39"/>
      <c r="AK104" s="39">
        <v>436.637</v>
      </c>
      <c r="AL104" s="39">
        <v>459.80099999999999</v>
      </c>
      <c r="AM104" s="39">
        <v>83.69399999999996</v>
      </c>
      <c r="AN104" s="40">
        <v>22.252710000079759</v>
      </c>
      <c r="BB104" s="119"/>
      <c r="BD104" s="119"/>
    </row>
    <row r="105" spans="1:56" s="2" customFormat="1" hidden="1">
      <c r="A105" s="57" t="s">
        <v>168</v>
      </c>
      <c r="B105" s="77" t="s">
        <v>88</v>
      </c>
      <c r="C105" s="34" t="s">
        <v>22</v>
      </c>
      <c r="D105" s="47"/>
      <c r="E105" s="26">
        <f t="shared" si="11"/>
        <v>0</v>
      </c>
      <c r="F105" s="41"/>
      <c r="G105" s="41"/>
      <c r="H105" s="41"/>
      <c r="I105" s="41"/>
      <c r="J105" s="41"/>
      <c r="K105" s="41"/>
      <c r="L105" s="41"/>
      <c r="M105" s="41">
        <v>61.238999999999997</v>
      </c>
      <c r="N105" s="27">
        <v>80.239999999999995</v>
      </c>
      <c r="O105" s="27">
        <f t="shared" si="10"/>
        <v>80.239999999999995</v>
      </c>
      <c r="P105" s="29"/>
      <c r="S105" s="1"/>
      <c r="T105" s="1"/>
      <c r="U105" s="1"/>
      <c r="V105" s="1"/>
      <c r="W105" s="1"/>
      <c r="X105" s="89"/>
      <c r="Y105" s="2" t="s">
        <v>166</v>
      </c>
      <c r="Z105" s="2" t="s">
        <v>84</v>
      </c>
      <c r="AA105" s="2" t="s">
        <v>22</v>
      </c>
      <c r="AB105" s="39">
        <v>652.1</v>
      </c>
      <c r="AC105" s="39">
        <v>652.1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1914.904</v>
      </c>
      <c r="AL105" s="39">
        <v>1914.904</v>
      </c>
      <c r="AM105" s="39">
        <v>1262.8040000000001</v>
      </c>
      <c r="AN105" s="40">
        <v>193.65189388130653</v>
      </c>
      <c r="BB105" s="119"/>
      <c r="BD105" s="119"/>
    </row>
    <row r="106" spans="1:56" s="2" customFormat="1" hidden="1">
      <c r="A106" s="57" t="s">
        <v>169</v>
      </c>
      <c r="B106" s="77" t="s">
        <v>90</v>
      </c>
      <c r="C106" s="34" t="s">
        <v>22</v>
      </c>
      <c r="D106" s="47"/>
      <c r="E106" s="26">
        <f t="shared" si="11"/>
        <v>0</v>
      </c>
      <c r="F106" s="41"/>
      <c r="G106" s="41"/>
      <c r="H106" s="41"/>
      <c r="I106" s="41"/>
      <c r="J106" s="41"/>
      <c r="K106" s="41"/>
      <c r="L106" s="41"/>
      <c r="M106" s="41">
        <v>442</v>
      </c>
      <c r="N106" s="27">
        <v>569.65</v>
      </c>
      <c r="O106" s="27">
        <f t="shared" si="10"/>
        <v>569.65</v>
      </c>
      <c r="P106" s="29"/>
      <c r="R106" s="39"/>
      <c r="S106" s="1"/>
      <c r="T106" s="1"/>
      <c r="U106" s="1"/>
      <c r="V106" s="1"/>
      <c r="W106" s="1"/>
      <c r="X106" s="89"/>
      <c r="Y106" s="2" t="s">
        <v>167</v>
      </c>
      <c r="Z106" s="2" t="s">
        <v>86</v>
      </c>
      <c r="AA106" s="2" t="s">
        <v>22</v>
      </c>
      <c r="AB106" s="39"/>
      <c r="AC106" s="39">
        <v>0</v>
      </c>
      <c r="AD106" s="39"/>
      <c r="AE106" s="39"/>
      <c r="AF106" s="39"/>
      <c r="AG106" s="39"/>
      <c r="AH106" s="39"/>
      <c r="AI106" s="39"/>
      <c r="AJ106" s="39"/>
      <c r="AK106" s="39">
        <v>931.49900000000002</v>
      </c>
      <c r="AL106" s="39">
        <v>931.49900000000002</v>
      </c>
      <c r="AM106" s="39"/>
      <c r="AN106" s="40"/>
      <c r="BB106" s="119"/>
      <c r="BD106" s="119"/>
    </row>
    <row r="107" spans="1:56" ht="31.5">
      <c r="A107" s="66" t="s">
        <v>170</v>
      </c>
      <c r="B107" s="23" t="s">
        <v>171</v>
      </c>
      <c r="C107" s="24" t="s">
        <v>22</v>
      </c>
      <c r="D107" s="27">
        <v>1323.64</v>
      </c>
      <c r="E107" s="26">
        <f t="shared" si="11"/>
        <v>1323.64</v>
      </c>
      <c r="F107" s="26"/>
      <c r="G107" s="26"/>
      <c r="H107" s="26"/>
      <c r="I107" s="26"/>
      <c r="J107" s="26"/>
      <c r="K107" s="26"/>
      <c r="L107" s="26"/>
      <c r="M107" s="26">
        <v>2137.2399999999998</v>
      </c>
      <c r="N107" s="27">
        <v>2137.2399999999998</v>
      </c>
      <c r="O107" s="27">
        <f t="shared" si="10"/>
        <v>813.59999999999968</v>
      </c>
      <c r="P107" s="29">
        <f t="shared" si="12"/>
        <v>61.466864102021667</v>
      </c>
      <c r="Q107" s="1" t="s">
        <v>172</v>
      </c>
      <c r="X107" s="84"/>
      <c r="Y107" s="1" t="s">
        <v>168</v>
      </c>
      <c r="Z107" s="1" t="s">
        <v>88</v>
      </c>
      <c r="AA107" s="1" t="s">
        <v>22</v>
      </c>
      <c r="AB107" s="30"/>
      <c r="AC107" s="30">
        <v>0</v>
      </c>
      <c r="AD107" s="30"/>
      <c r="AE107" s="30"/>
      <c r="AF107" s="30"/>
      <c r="AG107" s="30"/>
      <c r="AH107" s="30"/>
      <c r="AI107" s="30"/>
      <c r="AJ107" s="30"/>
      <c r="AK107" s="30">
        <v>58.649000000000001</v>
      </c>
      <c r="AL107" s="30">
        <v>58.649000000000001</v>
      </c>
      <c r="AM107" s="30"/>
      <c r="AN107" s="31"/>
      <c r="BB107" s="118"/>
      <c r="BD107" s="123" t="s">
        <v>284</v>
      </c>
    </row>
    <row r="108" spans="1:56" s="18" customFormat="1" ht="31.5">
      <c r="A108" s="66" t="s">
        <v>173</v>
      </c>
      <c r="B108" s="23" t="s">
        <v>265</v>
      </c>
      <c r="C108" s="24" t="s">
        <v>22</v>
      </c>
      <c r="D108" s="51">
        <f>D109</f>
        <v>518.16800000000001</v>
      </c>
      <c r="E108" s="25">
        <f t="shared" si="11"/>
        <v>518.16800000000001</v>
      </c>
      <c r="F108" s="27">
        <f t="shared" ref="F108:M108" si="16">F109</f>
        <v>0</v>
      </c>
      <c r="G108" s="27">
        <f t="shared" si="16"/>
        <v>0</v>
      </c>
      <c r="H108" s="27">
        <f t="shared" si="16"/>
        <v>0</v>
      </c>
      <c r="I108" s="27">
        <f t="shared" si="16"/>
        <v>0</v>
      </c>
      <c r="J108" s="27">
        <f t="shared" si="16"/>
        <v>0</v>
      </c>
      <c r="K108" s="27">
        <f t="shared" si="16"/>
        <v>0</v>
      </c>
      <c r="L108" s="27">
        <f t="shared" si="16"/>
        <v>0</v>
      </c>
      <c r="M108" s="27">
        <f t="shared" si="16"/>
        <v>783.55700000000002</v>
      </c>
      <c r="N108" s="27">
        <f>N109</f>
        <v>829.51</v>
      </c>
      <c r="O108" s="27">
        <f t="shared" si="10"/>
        <v>311.34199999999998</v>
      </c>
      <c r="P108" s="29">
        <f t="shared" si="12"/>
        <v>60.0851461302126</v>
      </c>
      <c r="Q108" s="17"/>
      <c r="S108" s="1"/>
      <c r="T108" s="1"/>
      <c r="U108" s="1"/>
      <c r="V108" s="1"/>
      <c r="W108" s="1"/>
      <c r="X108" s="3"/>
      <c r="Y108" s="18" t="s">
        <v>169</v>
      </c>
      <c r="Z108" s="18" t="s">
        <v>90</v>
      </c>
      <c r="AA108" s="18" t="s">
        <v>22</v>
      </c>
      <c r="AB108" s="17"/>
      <c r="AC108" s="17">
        <v>0</v>
      </c>
      <c r="AD108" s="17"/>
      <c r="AE108" s="17"/>
      <c r="AF108" s="17"/>
      <c r="AG108" s="17"/>
      <c r="AH108" s="17"/>
      <c r="AI108" s="17"/>
      <c r="AJ108" s="17"/>
      <c r="AK108" s="17">
        <v>924.75599999999997</v>
      </c>
      <c r="AL108" s="17">
        <v>924.75599999999997</v>
      </c>
      <c r="AM108" s="17"/>
      <c r="AN108" s="19"/>
      <c r="BB108" s="117"/>
      <c r="BD108" s="123" t="s">
        <v>270</v>
      </c>
    </row>
    <row r="109" spans="1:56" hidden="1">
      <c r="A109" s="90" t="s">
        <v>175</v>
      </c>
      <c r="B109" s="23" t="s">
        <v>32</v>
      </c>
      <c r="C109" s="24" t="s">
        <v>22</v>
      </c>
      <c r="D109" s="27">
        <v>518.16800000000001</v>
      </c>
      <c r="E109" s="26">
        <f t="shared" si="11"/>
        <v>518.16800000000001</v>
      </c>
      <c r="F109" s="26"/>
      <c r="G109" s="26"/>
      <c r="H109" s="26"/>
      <c r="I109" s="26"/>
      <c r="J109" s="26"/>
      <c r="K109" s="26"/>
      <c r="L109" s="26"/>
      <c r="M109" s="26">
        <f>10.702+772.855</f>
        <v>783.55700000000002</v>
      </c>
      <c r="N109" s="27">
        <v>829.51</v>
      </c>
      <c r="O109" s="27">
        <f t="shared" si="10"/>
        <v>311.34199999999998</v>
      </c>
      <c r="P109" s="29">
        <f t="shared" si="12"/>
        <v>60.0851461302126</v>
      </c>
      <c r="S109" s="18"/>
      <c r="T109" s="18"/>
      <c r="U109" s="18"/>
      <c r="V109" s="18"/>
      <c r="W109" s="18"/>
      <c r="X109" s="84"/>
      <c r="Y109" s="1" t="s">
        <v>170</v>
      </c>
      <c r="Z109" s="1" t="s">
        <v>171</v>
      </c>
      <c r="AA109" s="1" t="s">
        <v>22</v>
      </c>
      <c r="AB109" s="30">
        <v>1323.64</v>
      </c>
      <c r="AC109" s="30">
        <v>1323.64</v>
      </c>
      <c r="AD109" s="30"/>
      <c r="AE109" s="30"/>
      <c r="AF109" s="30"/>
      <c r="AG109" s="30"/>
      <c r="AH109" s="30"/>
      <c r="AI109" s="30"/>
      <c r="AJ109" s="30"/>
      <c r="AK109" s="30">
        <v>2137.239</v>
      </c>
      <c r="AL109" s="30">
        <v>2137.239</v>
      </c>
      <c r="AM109" s="30">
        <v>813.59899999999993</v>
      </c>
      <c r="AN109" s="31">
        <v>61.466788552778695</v>
      </c>
      <c r="BB109" s="118"/>
      <c r="BD109" s="118"/>
    </row>
    <row r="110" spans="1:56" s="18" customFormat="1" ht="50.25" customHeight="1">
      <c r="A110" s="66" t="s">
        <v>176</v>
      </c>
      <c r="B110" s="48" t="s">
        <v>177</v>
      </c>
      <c r="C110" s="24" t="s">
        <v>22</v>
      </c>
      <c r="D110" s="27">
        <f>D111+D112+D113+D114</f>
        <v>7062.3150000000005</v>
      </c>
      <c r="E110" s="26">
        <f t="shared" si="11"/>
        <v>7062.3150000000005</v>
      </c>
      <c r="F110" s="27">
        <f t="shared" ref="F110:L110" si="17">F111+F112+F113+F114</f>
        <v>93.124000000000009</v>
      </c>
      <c r="G110" s="27">
        <f t="shared" si="17"/>
        <v>5685.8190000000004</v>
      </c>
      <c r="H110" s="27">
        <f t="shared" si="17"/>
        <v>1325.7850000000001</v>
      </c>
      <c r="I110" s="27">
        <f t="shared" si="17"/>
        <v>0</v>
      </c>
      <c r="J110" s="27">
        <f t="shared" si="17"/>
        <v>0</v>
      </c>
      <c r="K110" s="27">
        <f t="shared" si="17"/>
        <v>0</v>
      </c>
      <c r="L110" s="27">
        <f t="shared" si="17"/>
        <v>0</v>
      </c>
      <c r="M110" s="27">
        <f>M111+M112+M113+M114</f>
        <v>73.7</v>
      </c>
      <c r="N110" s="27">
        <f>N111+N112+N113+N114</f>
        <v>7128.43</v>
      </c>
      <c r="O110" s="27">
        <f t="shared" si="10"/>
        <v>66.114999999999782</v>
      </c>
      <c r="P110" s="29">
        <f t="shared" si="12"/>
        <v>0.93616611550178341</v>
      </c>
      <c r="R110" s="17"/>
      <c r="W110" s="17"/>
      <c r="X110" s="3"/>
      <c r="Y110" s="18" t="s">
        <v>173</v>
      </c>
      <c r="Z110" s="18" t="s">
        <v>174</v>
      </c>
      <c r="AA110" s="18" t="s">
        <v>22</v>
      </c>
      <c r="AB110" s="17">
        <v>518.16800000000001</v>
      </c>
      <c r="AC110" s="17">
        <v>518.16800000000001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829.50600000000009</v>
      </c>
      <c r="AL110" s="17">
        <v>829.50600000000009</v>
      </c>
      <c r="AM110" s="17">
        <v>311.33800000000008</v>
      </c>
      <c r="AN110" s="19">
        <v>60.084374179802694</v>
      </c>
      <c r="BB110" s="123" t="s">
        <v>267</v>
      </c>
      <c r="BD110" s="123" t="s">
        <v>285</v>
      </c>
    </row>
    <row r="111" spans="1:56" s="2" customFormat="1" hidden="1">
      <c r="A111" s="57" t="s">
        <v>178</v>
      </c>
      <c r="B111" s="52" t="s">
        <v>179</v>
      </c>
      <c r="C111" s="34" t="s">
        <v>22</v>
      </c>
      <c r="D111" s="47">
        <v>5327.3850000000002</v>
      </c>
      <c r="E111" s="26">
        <f t="shared" si="11"/>
        <v>5327.3850000000002</v>
      </c>
      <c r="F111" s="41">
        <v>41.664000000000001</v>
      </c>
      <c r="G111" s="41">
        <f>0.256+5215.243</f>
        <v>5215.4990000000007</v>
      </c>
      <c r="H111" s="41">
        <v>20.324000000000002</v>
      </c>
      <c r="I111" s="41"/>
      <c r="J111" s="41"/>
      <c r="K111" s="41"/>
      <c r="L111" s="41"/>
      <c r="M111" s="41"/>
      <c r="N111" s="47">
        <v>5227.49</v>
      </c>
      <c r="O111" s="47">
        <f t="shared" si="10"/>
        <v>-99.895000000000437</v>
      </c>
      <c r="P111" s="16">
        <f t="shared" si="12"/>
        <v>-1.8751225976722246</v>
      </c>
      <c r="S111" s="1"/>
      <c r="T111" s="1"/>
      <c r="U111" s="1"/>
      <c r="V111" s="1"/>
      <c r="W111" s="1"/>
      <c r="X111" s="89">
        <v>5277.49</v>
      </c>
      <c r="Y111" s="91" t="s">
        <v>175</v>
      </c>
      <c r="Z111" s="2" t="s">
        <v>32</v>
      </c>
      <c r="AA111" s="2" t="s">
        <v>22</v>
      </c>
      <c r="AB111" s="39">
        <v>518.16800000000001</v>
      </c>
      <c r="AC111" s="39">
        <v>518.16800000000001</v>
      </c>
      <c r="AD111" s="39"/>
      <c r="AE111" s="39"/>
      <c r="AF111" s="39"/>
      <c r="AG111" s="39"/>
      <c r="AH111" s="39"/>
      <c r="AI111" s="39"/>
      <c r="AJ111" s="39"/>
      <c r="AK111" s="39">
        <v>829.50600000000009</v>
      </c>
      <c r="AL111" s="39">
        <v>829.50600000000009</v>
      </c>
      <c r="AM111" s="39">
        <v>311.33800000000008</v>
      </c>
      <c r="AN111" s="40">
        <v>60.084374179802694</v>
      </c>
      <c r="BB111" s="119"/>
      <c r="BD111" s="119"/>
    </row>
    <row r="112" spans="1:56" s="2" customFormat="1" hidden="1">
      <c r="A112" s="57" t="s">
        <v>180</v>
      </c>
      <c r="B112" s="52" t="s">
        <v>181</v>
      </c>
      <c r="C112" s="34" t="s">
        <v>22</v>
      </c>
      <c r="D112" s="47">
        <v>1591.26</v>
      </c>
      <c r="E112" s="26">
        <f t="shared" si="11"/>
        <v>1591.26</v>
      </c>
      <c r="F112" s="41">
        <v>21.64</v>
      </c>
      <c r="G112" s="41">
        <v>287.93599999999998</v>
      </c>
      <c r="H112" s="41">
        <v>1281.6769999999999</v>
      </c>
      <c r="I112" s="41"/>
      <c r="J112" s="41"/>
      <c r="K112" s="41"/>
      <c r="L112" s="41"/>
      <c r="M112" s="41"/>
      <c r="N112" s="47">
        <v>1591.25</v>
      </c>
      <c r="O112" s="47">
        <f t="shared" si="10"/>
        <v>-9.9999999999909051E-3</v>
      </c>
      <c r="P112" s="16">
        <f t="shared" si="12"/>
        <v>-6.2843281424725724E-4</v>
      </c>
      <c r="S112" s="1"/>
      <c r="T112" s="1"/>
      <c r="U112" s="1"/>
      <c r="V112" s="1"/>
      <c r="W112" s="1"/>
      <c r="X112" s="89"/>
      <c r="Y112" s="2" t="s">
        <v>176</v>
      </c>
      <c r="Z112" s="2" t="s">
        <v>177</v>
      </c>
      <c r="AA112" s="2" t="s">
        <v>22</v>
      </c>
      <c r="AB112" s="39">
        <v>7062.3150000000005</v>
      </c>
      <c r="AC112" s="39">
        <v>7062.3150000000005</v>
      </c>
      <c r="AD112" s="39">
        <v>93.124000000000009</v>
      </c>
      <c r="AE112" s="39">
        <v>5685.8190000000004</v>
      </c>
      <c r="AF112" s="39">
        <v>1325.7850000000001</v>
      </c>
      <c r="AG112" s="39">
        <v>0</v>
      </c>
      <c r="AH112" s="39">
        <v>0</v>
      </c>
      <c r="AI112" s="39">
        <v>0</v>
      </c>
      <c r="AJ112" s="39">
        <v>0</v>
      </c>
      <c r="AK112" s="39">
        <v>73.7</v>
      </c>
      <c r="AL112" s="39">
        <v>7178.4279999999999</v>
      </c>
      <c r="AM112" s="39">
        <v>116.11299999999846</v>
      </c>
      <c r="AN112" s="40">
        <v>1.6441209433450581</v>
      </c>
      <c r="BB112" s="119"/>
      <c r="BD112" s="119"/>
    </row>
    <row r="113" spans="1:56" s="2" customFormat="1" hidden="1">
      <c r="A113" s="57" t="s">
        <v>182</v>
      </c>
      <c r="B113" s="52" t="s">
        <v>183</v>
      </c>
      <c r="C113" s="34" t="s">
        <v>22</v>
      </c>
      <c r="D113" s="92">
        <v>124.24</v>
      </c>
      <c r="E113" s="26">
        <f t="shared" si="11"/>
        <v>124.24</v>
      </c>
      <c r="F113" s="41">
        <v>29.73</v>
      </c>
      <c r="G113" s="41">
        <v>174.97200000000001</v>
      </c>
      <c r="H113" s="41">
        <v>23.783999999999999</v>
      </c>
      <c r="I113" s="41"/>
      <c r="J113" s="41"/>
      <c r="K113" s="41"/>
      <c r="L113" s="41"/>
      <c r="M113" s="41">
        <v>14.404999999999999</v>
      </c>
      <c r="N113" s="47">
        <v>242.89</v>
      </c>
      <c r="O113" s="47">
        <f t="shared" si="10"/>
        <v>118.64999999999999</v>
      </c>
      <c r="P113" s="16">
        <f t="shared" si="12"/>
        <v>95.500643915003209</v>
      </c>
      <c r="S113" s="1"/>
      <c r="T113" s="1"/>
      <c r="U113" s="1"/>
      <c r="V113" s="1"/>
      <c r="W113" s="1"/>
      <c r="X113" s="89"/>
      <c r="Y113" s="2" t="s">
        <v>178</v>
      </c>
      <c r="Z113" s="2" t="s">
        <v>179</v>
      </c>
      <c r="AA113" s="2" t="s">
        <v>22</v>
      </c>
      <c r="AB113" s="39">
        <v>5327.3850000000002</v>
      </c>
      <c r="AC113" s="39">
        <v>5327.3850000000002</v>
      </c>
      <c r="AD113" s="39">
        <v>41.664000000000001</v>
      </c>
      <c r="AE113" s="39">
        <v>5215.4990000000007</v>
      </c>
      <c r="AF113" s="39">
        <v>20.324000000000002</v>
      </c>
      <c r="AG113" s="39"/>
      <c r="AH113" s="39"/>
      <c r="AI113" s="39"/>
      <c r="AJ113" s="39"/>
      <c r="AK113" s="39"/>
      <c r="AL113" s="39">
        <v>5277.4870000000001</v>
      </c>
      <c r="AM113" s="39">
        <v>-49.898000000000138</v>
      </c>
      <c r="AN113" s="40">
        <v>-0.93663213753089281</v>
      </c>
      <c r="BB113" s="119"/>
      <c r="BD113" s="119"/>
    </row>
    <row r="114" spans="1:56" s="2" customFormat="1" ht="31.5" hidden="1">
      <c r="A114" s="57" t="s">
        <v>184</v>
      </c>
      <c r="B114" s="77" t="s">
        <v>185</v>
      </c>
      <c r="C114" s="34" t="s">
        <v>22</v>
      </c>
      <c r="D114" s="47">
        <v>19.43</v>
      </c>
      <c r="E114" s="26">
        <f t="shared" si="11"/>
        <v>19.43</v>
      </c>
      <c r="F114" s="41">
        <v>0.09</v>
      </c>
      <c r="G114" s="41">
        <v>7.4119999999999999</v>
      </c>
      <c r="H114" s="41"/>
      <c r="I114" s="41"/>
      <c r="J114" s="41"/>
      <c r="K114" s="41"/>
      <c r="L114" s="41"/>
      <c r="M114" s="41">
        <f>10.936+48.359</f>
        <v>59.295000000000002</v>
      </c>
      <c r="N114" s="47">
        <v>66.8</v>
      </c>
      <c r="O114" s="47">
        <f t="shared" si="10"/>
        <v>47.37</v>
      </c>
      <c r="P114" s="16">
        <f t="shared" si="12"/>
        <v>243.79825012866698</v>
      </c>
      <c r="X114" s="89"/>
      <c r="Y114" s="2" t="s">
        <v>180</v>
      </c>
      <c r="Z114" s="2" t="s">
        <v>181</v>
      </c>
      <c r="AA114" s="2" t="s">
        <v>22</v>
      </c>
      <c r="AB114" s="39">
        <v>1591.26</v>
      </c>
      <c r="AC114" s="39">
        <v>1591.26</v>
      </c>
      <c r="AD114" s="39">
        <v>21.64</v>
      </c>
      <c r="AE114" s="39">
        <v>287.93599999999998</v>
      </c>
      <c r="AF114" s="39">
        <v>1281.6769999999999</v>
      </c>
      <c r="AG114" s="39"/>
      <c r="AH114" s="39"/>
      <c r="AI114" s="39"/>
      <c r="AJ114" s="39"/>
      <c r="AK114" s="39"/>
      <c r="AL114" s="39">
        <v>1591.2529999999999</v>
      </c>
      <c r="AM114" s="39">
        <v>-7.0000000000618456E-3</v>
      </c>
      <c r="AN114" s="40">
        <v>-4.3990296997264977E-4</v>
      </c>
      <c r="BB114" s="119"/>
      <c r="BD114" s="119"/>
    </row>
    <row r="115" spans="1:56" s="18" customFormat="1" ht="31.5">
      <c r="A115" s="66" t="s">
        <v>186</v>
      </c>
      <c r="B115" s="48" t="s">
        <v>187</v>
      </c>
      <c r="C115" s="24" t="s">
        <v>22</v>
      </c>
      <c r="D115" s="75">
        <f>SUM(D116:D129)</f>
        <v>695.97899999999993</v>
      </c>
      <c r="E115" s="26">
        <v>734.39</v>
      </c>
      <c r="F115" s="26">
        <f t="shared" ref="F115:M115" si="18">SUM(F116:F132)</f>
        <v>6.657</v>
      </c>
      <c r="G115" s="26">
        <f t="shared" si="18"/>
        <v>2.37</v>
      </c>
      <c r="H115" s="26">
        <f t="shared" si="18"/>
        <v>1.4830000000000001</v>
      </c>
      <c r="I115" s="26">
        <f t="shared" si="18"/>
        <v>3.02</v>
      </c>
      <c r="J115" s="26">
        <f t="shared" si="18"/>
        <v>1.7290000000000001</v>
      </c>
      <c r="K115" s="26">
        <f t="shared" si="18"/>
        <v>1.117</v>
      </c>
      <c r="L115" s="26">
        <f t="shared" si="18"/>
        <v>0</v>
      </c>
      <c r="M115" s="26">
        <f t="shared" si="18"/>
        <v>1278.9580000000001</v>
      </c>
      <c r="N115" s="26">
        <f>SUM(N116:N132)</f>
        <v>1844.9520000000002</v>
      </c>
      <c r="O115" s="27">
        <f t="shared" si="10"/>
        <v>1110.5620000000004</v>
      </c>
      <c r="P115" s="29">
        <f t="shared" si="12"/>
        <v>151.22237503233981</v>
      </c>
      <c r="S115" s="2"/>
      <c r="T115" s="2"/>
      <c r="U115" s="2"/>
      <c r="V115" s="2"/>
      <c r="W115" s="2"/>
      <c r="X115" s="3"/>
      <c r="Y115" s="18" t="s">
        <v>184</v>
      </c>
      <c r="Z115" s="18" t="s">
        <v>185</v>
      </c>
      <c r="AA115" s="18" t="s">
        <v>22</v>
      </c>
      <c r="AB115" s="17">
        <v>19.43</v>
      </c>
      <c r="AC115" s="17">
        <v>19.43</v>
      </c>
      <c r="AD115" s="17">
        <v>0.09</v>
      </c>
      <c r="AE115" s="17">
        <v>7.4119999999999999</v>
      </c>
      <c r="AF115" s="17"/>
      <c r="AG115" s="17"/>
      <c r="AH115" s="17"/>
      <c r="AI115" s="17"/>
      <c r="AJ115" s="17"/>
      <c r="AK115" s="17">
        <v>59.295000000000002</v>
      </c>
      <c r="AL115" s="17">
        <v>66.796999999999997</v>
      </c>
      <c r="AM115" s="17">
        <v>47.366999999999997</v>
      </c>
      <c r="AN115" s="19">
        <v>243.78281008749354</v>
      </c>
      <c r="BB115" s="117"/>
      <c r="BD115" s="123" t="s">
        <v>286</v>
      </c>
    </row>
    <row r="116" spans="1:56" hidden="1">
      <c r="A116" s="66" t="s">
        <v>188</v>
      </c>
      <c r="B116" s="48" t="s">
        <v>189</v>
      </c>
      <c r="C116" s="24" t="s">
        <v>22</v>
      </c>
      <c r="D116" s="27">
        <v>130.05000000000001</v>
      </c>
      <c r="E116" s="26">
        <f t="shared" si="11"/>
        <v>130.05000000000001</v>
      </c>
      <c r="F116" s="26">
        <v>4.6210000000000004</v>
      </c>
      <c r="G116" s="26">
        <f>2.37</f>
        <v>2.37</v>
      </c>
      <c r="H116" s="26">
        <v>1.4830000000000001</v>
      </c>
      <c r="I116" s="26">
        <v>2.375</v>
      </c>
      <c r="J116" s="26">
        <v>1.502</v>
      </c>
      <c r="K116" s="26"/>
      <c r="L116" s="26"/>
      <c r="M116" s="26">
        <v>17.27</v>
      </c>
      <c r="N116" s="27">
        <v>20.68</v>
      </c>
      <c r="O116" s="27">
        <f t="shared" si="10"/>
        <v>-109.37</v>
      </c>
      <c r="P116" s="29">
        <f t="shared" si="12"/>
        <v>-84.09842368319876</v>
      </c>
      <c r="R116" s="30"/>
      <c r="X116" s="84">
        <v>37.35</v>
      </c>
      <c r="Y116" s="1" t="s">
        <v>186</v>
      </c>
      <c r="Z116" s="1" t="s">
        <v>187</v>
      </c>
      <c r="AA116" s="1" t="s">
        <v>22</v>
      </c>
      <c r="AB116" s="21">
        <v>734.37899999999991</v>
      </c>
      <c r="AC116" s="30">
        <v>734.37899999999991</v>
      </c>
      <c r="AD116" s="30">
        <v>16.314</v>
      </c>
      <c r="AE116" s="30">
        <v>11.347</v>
      </c>
      <c r="AF116" s="30">
        <v>2.903</v>
      </c>
      <c r="AG116" s="30">
        <v>1.823</v>
      </c>
      <c r="AH116" s="30">
        <v>1.7290000000000001</v>
      </c>
      <c r="AI116" s="30">
        <v>1.117</v>
      </c>
      <c r="AJ116" s="30">
        <v>0</v>
      </c>
      <c r="AK116" s="30">
        <v>3152.08</v>
      </c>
      <c r="AL116" s="30">
        <v>4093.2379999999994</v>
      </c>
      <c r="AM116" s="30">
        <v>3358.8589999999995</v>
      </c>
      <c r="AN116" s="31">
        <v>457.37405345196419</v>
      </c>
      <c r="BB116" s="118"/>
      <c r="BD116" s="118"/>
    </row>
    <row r="117" spans="1:56" hidden="1">
      <c r="A117" s="66" t="s">
        <v>190</v>
      </c>
      <c r="B117" s="48" t="s">
        <v>191</v>
      </c>
      <c r="C117" s="24" t="s">
        <v>22</v>
      </c>
      <c r="D117" s="27">
        <v>9.3699999999999992</v>
      </c>
      <c r="E117" s="26">
        <f t="shared" si="11"/>
        <v>9.3699999999999992</v>
      </c>
      <c r="F117" s="26"/>
      <c r="G117" s="26"/>
      <c r="H117" s="26"/>
      <c r="I117" s="26"/>
      <c r="J117" s="26"/>
      <c r="K117" s="26"/>
      <c r="L117" s="26"/>
      <c r="M117" s="26">
        <f>9.367</f>
        <v>9.3670000000000009</v>
      </c>
      <c r="N117" s="27">
        <v>9.3699999999999992</v>
      </c>
      <c r="O117" s="27">
        <f t="shared" si="10"/>
        <v>0</v>
      </c>
      <c r="P117" s="29">
        <f t="shared" si="12"/>
        <v>0</v>
      </c>
      <c r="X117" s="84"/>
      <c r="Y117" s="1" t="s">
        <v>188</v>
      </c>
      <c r="Z117" s="1" t="s">
        <v>189</v>
      </c>
      <c r="AA117" s="1" t="s">
        <v>22</v>
      </c>
      <c r="AB117" s="30">
        <v>130.05000000000001</v>
      </c>
      <c r="AC117" s="30">
        <v>130.05000000000001</v>
      </c>
      <c r="AD117" s="30">
        <v>14.278</v>
      </c>
      <c r="AE117" s="30">
        <v>1.8089999999999999</v>
      </c>
      <c r="AF117" s="30">
        <v>1.3120000000000001</v>
      </c>
      <c r="AG117" s="30">
        <v>1.1779999999999999</v>
      </c>
      <c r="AH117" s="30">
        <v>1.502</v>
      </c>
      <c r="AI117" s="30"/>
      <c r="AJ117" s="30"/>
      <c r="AK117" s="30">
        <v>17.27</v>
      </c>
      <c r="AL117" s="30">
        <v>37.349000000000004</v>
      </c>
      <c r="AM117" s="30">
        <v>-92.701000000000008</v>
      </c>
      <c r="AN117" s="31">
        <v>-71.281045751633982</v>
      </c>
      <c r="BB117" s="118"/>
      <c r="BD117" s="118"/>
    </row>
    <row r="118" spans="1:56" hidden="1">
      <c r="A118" s="66" t="s">
        <v>192</v>
      </c>
      <c r="B118" s="48" t="s">
        <v>193</v>
      </c>
      <c r="C118" s="24" t="s">
        <v>22</v>
      </c>
      <c r="D118" s="27">
        <v>361.39</v>
      </c>
      <c r="E118" s="26">
        <f t="shared" si="11"/>
        <v>361.39</v>
      </c>
      <c r="F118" s="26"/>
      <c r="G118" s="26"/>
      <c r="H118" s="26"/>
      <c r="I118" s="26"/>
      <c r="J118" s="26"/>
      <c r="K118" s="26"/>
      <c r="L118" s="26"/>
      <c r="M118" s="26">
        <f>SUM(M119:M120)</f>
        <v>438.54599999999999</v>
      </c>
      <c r="N118" s="27">
        <f>N119+N120</f>
        <v>438.54599999999999</v>
      </c>
      <c r="O118" s="27">
        <f t="shared" si="10"/>
        <v>77.156000000000006</v>
      </c>
      <c r="P118" s="29">
        <f t="shared" si="12"/>
        <v>21.349788317330308</v>
      </c>
      <c r="R118" s="30"/>
      <c r="X118" s="84"/>
      <c r="Y118" s="1" t="s">
        <v>190</v>
      </c>
      <c r="Z118" s="1" t="s">
        <v>191</v>
      </c>
      <c r="AA118" s="1" t="s">
        <v>22</v>
      </c>
      <c r="AB118" s="30">
        <v>9.3699999999999992</v>
      </c>
      <c r="AC118" s="30">
        <v>9.3699999999999992</v>
      </c>
      <c r="AD118" s="30"/>
      <c r="AE118" s="30"/>
      <c r="AF118" s="30"/>
      <c r="AG118" s="30"/>
      <c r="AH118" s="30"/>
      <c r="AI118" s="30"/>
      <c r="AJ118" s="30"/>
      <c r="AK118" s="30">
        <v>9.3670000000000009</v>
      </c>
      <c r="AL118" s="30">
        <v>9.3670000000000009</v>
      </c>
      <c r="AM118" s="30">
        <v>-2.9999999999983373E-3</v>
      </c>
      <c r="AN118" s="31">
        <v>-3.2017075773723036E-2</v>
      </c>
      <c r="BB118" s="118"/>
      <c r="BD118" s="118"/>
    </row>
    <row r="119" spans="1:56" s="2" customFormat="1" hidden="1">
      <c r="A119" s="57" t="s">
        <v>194</v>
      </c>
      <c r="B119" s="52" t="s">
        <v>195</v>
      </c>
      <c r="C119" s="34"/>
      <c r="D119" s="47"/>
      <c r="E119" s="26">
        <f t="shared" si="11"/>
        <v>0</v>
      </c>
      <c r="F119" s="41"/>
      <c r="G119" s="41"/>
      <c r="H119" s="41"/>
      <c r="I119" s="41"/>
      <c r="J119" s="41"/>
      <c r="K119" s="41"/>
      <c r="L119" s="41"/>
      <c r="M119" s="41">
        <f>20.711</f>
        <v>20.710999999999999</v>
      </c>
      <c r="N119" s="47">
        <f>SUM(F119:M119)</f>
        <v>20.710999999999999</v>
      </c>
      <c r="O119" s="47">
        <f t="shared" si="10"/>
        <v>20.710999999999999</v>
      </c>
      <c r="P119" s="29"/>
      <c r="S119" s="1"/>
      <c r="T119" s="1"/>
      <c r="U119" s="1"/>
      <c r="V119" s="1"/>
      <c r="W119" s="1"/>
      <c r="X119" s="89"/>
      <c r="Y119" s="2" t="s">
        <v>192</v>
      </c>
      <c r="Z119" s="2" t="s">
        <v>193</v>
      </c>
      <c r="AA119" s="2" t="s">
        <v>22</v>
      </c>
      <c r="AB119" s="39">
        <v>361.39</v>
      </c>
      <c r="AC119" s="39">
        <v>361.39</v>
      </c>
      <c r="AD119" s="39"/>
      <c r="AE119" s="39"/>
      <c r="AF119" s="39"/>
      <c r="AG119" s="39"/>
      <c r="AH119" s="39"/>
      <c r="AI119" s="39"/>
      <c r="AJ119" s="39"/>
      <c r="AK119" s="39">
        <v>438.54599999999999</v>
      </c>
      <c r="AL119" s="39">
        <v>438.54599999999999</v>
      </c>
      <c r="AM119" s="39">
        <v>77.156000000000006</v>
      </c>
      <c r="AN119" s="40">
        <v>21.349788317330322</v>
      </c>
      <c r="BB119" s="119"/>
      <c r="BD119" s="119"/>
    </row>
    <row r="120" spans="1:56" s="2" customFormat="1" hidden="1">
      <c r="A120" s="57" t="s">
        <v>196</v>
      </c>
      <c r="B120" s="52" t="s">
        <v>197</v>
      </c>
      <c r="C120" s="34"/>
      <c r="D120" s="47"/>
      <c r="E120" s="26">
        <f t="shared" si="11"/>
        <v>0</v>
      </c>
      <c r="F120" s="41"/>
      <c r="G120" s="41"/>
      <c r="H120" s="41"/>
      <c r="I120" s="41"/>
      <c r="J120" s="41"/>
      <c r="K120" s="41"/>
      <c r="L120" s="41"/>
      <c r="M120" s="41">
        <v>417.83499999999998</v>
      </c>
      <c r="N120" s="47">
        <f>SUM(F120:M120)</f>
        <v>417.83499999999998</v>
      </c>
      <c r="O120" s="47">
        <f t="shared" si="10"/>
        <v>417.83499999999998</v>
      </c>
      <c r="P120" s="29"/>
      <c r="S120" s="1"/>
      <c r="T120" s="1"/>
      <c r="U120" s="1"/>
      <c r="V120" s="1"/>
      <c r="W120" s="1"/>
      <c r="X120" s="89"/>
      <c r="Y120" s="2" t="s">
        <v>194</v>
      </c>
      <c r="Z120" s="2" t="s">
        <v>195</v>
      </c>
      <c r="AB120" s="39"/>
      <c r="AC120" s="39">
        <v>0</v>
      </c>
      <c r="AD120" s="39"/>
      <c r="AE120" s="39"/>
      <c r="AF120" s="39"/>
      <c r="AG120" s="39"/>
      <c r="AH120" s="39"/>
      <c r="AI120" s="39"/>
      <c r="AJ120" s="39"/>
      <c r="AK120" s="39">
        <v>20.710999999999999</v>
      </c>
      <c r="AL120" s="39">
        <v>20.710999999999999</v>
      </c>
      <c r="AM120" s="39">
        <v>20.710999999999999</v>
      </c>
      <c r="AN120" s="40" t="e">
        <v>#DIV/0!</v>
      </c>
      <c r="BB120" s="119"/>
      <c r="BD120" s="119"/>
    </row>
    <row r="121" spans="1:56" hidden="1">
      <c r="A121" s="66" t="s">
        <v>198</v>
      </c>
      <c r="B121" s="48" t="s">
        <v>199</v>
      </c>
      <c r="C121" s="24" t="s">
        <v>22</v>
      </c>
      <c r="D121" s="27">
        <v>23.7</v>
      </c>
      <c r="E121" s="26">
        <f t="shared" si="11"/>
        <v>23.7</v>
      </c>
      <c r="F121" s="26">
        <v>2.036</v>
      </c>
      <c r="G121" s="26"/>
      <c r="H121" s="26"/>
      <c r="I121" s="26">
        <f>0.227+0.418</f>
        <v>0.64500000000000002</v>
      </c>
      <c r="J121" s="26">
        <v>0.22700000000000001</v>
      </c>
      <c r="K121" s="26">
        <f>0.908+0.209</f>
        <v>1.117</v>
      </c>
      <c r="L121" s="26"/>
      <c r="M121" s="26">
        <f>8.241+4.803</f>
        <v>13.044</v>
      </c>
      <c r="N121" s="27">
        <v>17.07</v>
      </c>
      <c r="O121" s="27">
        <f t="shared" si="10"/>
        <v>-6.629999999999999</v>
      </c>
      <c r="P121" s="29">
        <f t="shared" si="12"/>
        <v>-27.974683544303797</v>
      </c>
      <c r="Q121" s="30"/>
      <c r="X121" s="84">
        <v>17.07</v>
      </c>
      <c r="Y121" s="1" t="s">
        <v>196</v>
      </c>
      <c r="Z121" s="1" t="s">
        <v>197</v>
      </c>
      <c r="AB121" s="30"/>
      <c r="AC121" s="30">
        <v>0</v>
      </c>
      <c r="AD121" s="30"/>
      <c r="AE121" s="30"/>
      <c r="AF121" s="30"/>
      <c r="AG121" s="30"/>
      <c r="AH121" s="30"/>
      <c r="AI121" s="30"/>
      <c r="AJ121" s="30"/>
      <c r="AK121" s="30">
        <v>417.83499999999998</v>
      </c>
      <c r="AL121" s="30">
        <v>417.83499999999998</v>
      </c>
      <c r="AM121" s="30">
        <v>417.83499999999998</v>
      </c>
      <c r="AN121" s="31" t="e">
        <v>#DIV/0!</v>
      </c>
      <c r="BB121" s="118"/>
      <c r="BD121" s="118"/>
    </row>
    <row r="122" spans="1:56" hidden="1">
      <c r="A122" s="66" t="s">
        <v>200</v>
      </c>
      <c r="B122" s="48" t="s">
        <v>201</v>
      </c>
      <c r="C122" s="24" t="s">
        <v>22</v>
      </c>
      <c r="D122" s="27">
        <v>58.668999999999997</v>
      </c>
      <c r="E122" s="26">
        <f t="shared" si="11"/>
        <v>58.668999999999997</v>
      </c>
      <c r="F122" s="26"/>
      <c r="G122" s="26"/>
      <c r="H122" s="26"/>
      <c r="I122" s="26"/>
      <c r="J122" s="26"/>
      <c r="K122" s="26"/>
      <c r="L122" s="26"/>
      <c r="M122" s="26">
        <v>58.67</v>
      </c>
      <c r="N122" s="27">
        <v>58.67</v>
      </c>
      <c r="O122" s="27">
        <f t="shared" si="10"/>
        <v>1.0000000000047748E-3</v>
      </c>
      <c r="P122" s="29">
        <f t="shared" si="12"/>
        <v>1.7044776628283673E-3</v>
      </c>
      <c r="Q122" s="21"/>
      <c r="X122" s="84"/>
      <c r="Y122" s="1" t="s">
        <v>198</v>
      </c>
      <c r="Z122" s="1" t="s">
        <v>199</v>
      </c>
      <c r="AA122" s="1" t="s">
        <v>22</v>
      </c>
      <c r="AB122" s="30">
        <v>23.7</v>
      </c>
      <c r="AC122" s="30">
        <v>23.7</v>
      </c>
      <c r="AD122" s="30">
        <v>2.036</v>
      </c>
      <c r="AE122" s="30"/>
      <c r="AF122" s="30"/>
      <c r="AG122" s="30">
        <v>0.64500000000000002</v>
      </c>
      <c r="AH122" s="30">
        <v>0.22700000000000001</v>
      </c>
      <c r="AI122" s="30">
        <v>1.117</v>
      </c>
      <c r="AJ122" s="30"/>
      <c r="AK122" s="30">
        <v>13.044</v>
      </c>
      <c r="AL122" s="30">
        <v>17.069000000000003</v>
      </c>
      <c r="AM122" s="30">
        <v>-6.6309999999999967</v>
      </c>
      <c r="AN122" s="31">
        <v>-27.978902953586484</v>
      </c>
      <c r="BB122" s="118"/>
      <c r="BD122" s="118"/>
    </row>
    <row r="123" spans="1:56" hidden="1">
      <c r="A123" s="66" t="s">
        <v>202</v>
      </c>
      <c r="B123" s="48" t="s">
        <v>203</v>
      </c>
      <c r="C123" s="24" t="s">
        <v>22</v>
      </c>
      <c r="D123" s="27">
        <v>16</v>
      </c>
      <c r="E123" s="26">
        <f t="shared" si="11"/>
        <v>16</v>
      </c>
      <c r="F123" s="26"/>
      <c r="G123" s="26"/>
      <c r="H123" s="26"/>
      <c r="I123" s="26"/>
      <c r="J123" s="26"/>
      <c r="K123" s="26"/>
      <c r="L123" s="26"/>
      <c r="M123" s="26"/>
      <c r="N123" s="83">
        <v>0</v>
      </c>
      <c r="O123" s="27">
        <f t="shared" si="10"/>
        <v>-16</v>
      </c>
      <c r="P123" s="29">
        <f t="shared" si="12"/>
        <v>-100</v>
      </c>
      <c r="X123" s="84"/>
      <c r="Y123" s="1" t="s">
        <v>200</v>
      </c>
      <c r="Z123" s="1" t="s">
        <v>204</v>
      </c>
      <c r="AA123" s="1" t="s">
        <v>22</v>
      </c>
      <c r="AB123" s="30">
        <v>58.668999999999997</v>
      </c>
      <c r="AC123" s="30">
        <v>58.668999999999997</v>
      </c>
      <c r="AD123" s="30"/>
      <c r="AE123" s="30"/>
      <c r="AF123" s="30"/>
      <c r="AG123" s="30"/>
      <c r="AH123" s="30"/>
      <c r="AI123" s="30"/>
      <c r="AJ123" s="30"/>
      <c r="AK123" s="30">
        <v>58.67</v>
      </c>
      <c r="AL123" s="30">
        <v>58.67</v>
      </c>
      <c r="AM123" s="30">
        <v>1.0000000000047748E-3</v>
      </c>
      <c r="AN123" s="31">
        <v>1.7044776628267755E-3</v>
      </c>
      <c r="BB123" s="118"/>
      <c r="BD123" s="118"/>
    </row>
    <row r="124" spans="1:56" hidden="1">
      <c r="A124" s="66" t="s">
        <v>205</v>
      </c>
      <c r="B124" s="23" t="s">
        <v>206</v>
      </c>
      <c r="C124" s="24" t="s">
        <v>22</v>
      </c>
      <c r="D124" s="27">
        <v>12.3</v>
      </c>
      <c r="E124" s="26">
        <f t="shared" si="11"/>
        <v>12.3</v>
      </c>
      <c r="F124" s="26"/>
      <c r="G124" s="26"/>
      <c r="H124" s="26"/>
      <c r="I124" s="26"/>
      <c r="J124" s="26"/>
      <c r="K124" s="26"/>
      <c r="L124" s="26"/>
      <c r="M124" s="26">
        <v>13.340999999999999</v>
      </c>
      <c r="N124" s="27">
        <v>13.34</v>
      </c>
      <c r="O124" s="27">
        <f t="shared" si="10"/>
        <v>1.0399999999999991</v>
      </c>
      <c r="P124" s="29">
        <f t="shared" si="12"/>
        <v>8.4552845528455212</v>
      </c>
      <c r="X124" s="84"/>
      <c r="Y124" s="1" t="s">
        <v>202</v>
      </c>
      <c r="Z124" s="1" t="s">
        <v>203</v>
      </c>
      <c r="AA124" s="1" t="s">
        <v>22</v>
      </c>
      <c r="AB124" s="30">
        <v>16</v>
      </c>
      <c r="AC124" s="30">
        <v>16</v>
      </c>
      <c r="AD124" s="30"/>
      <c r="AE124" s="30"/>
      <c r="AF124" s="30"/>
      <c r="AG124" s="30"/>
      <c r="AH124" s="30"/>
      <c r="AI124" s="30"/>
      <c r="AJ124" s="30"/>
      <c r="AK124" s="30"/>
      <c r="AL124" s="30">
        <v>0</v>
      </c>
      <c r="AM124" s="30">
        <v>-16</v>
      </c>
      <c r="AN124" s="31">
        <v>-100</v>
      </c>
      <c r="BB124" s="118"/>
      <c r="BD124" s="118"/>
    </row>
    <row r="125" spans="1:56" ht="31.5" hidden="1">
      <c r="A125" s="66" t="s">
        <v>207</v>
      </c>
      <c r="B125" s="23" t="s">
        <v>112</v>
      </c>
      <c r="C125" s="24" t="s">
        <v>22</v>
      </c>
      <c r="D125" s="27">
        <v>81</v>
      </c>
      <c r="E125" s="26">
        <f t="shared" si="11"/>
        <v>81</v>
      </c>
      <c r="F125" s="26"/>
      <c r="G125" s="26"/>
      <c r="H125" s="26"/>
      <c r="I125" s="26"/>
      <c r="J125" s="26"/>
      <c r="K125" s="26"/>
      <c r="L125" s="26"/>
      <c r="M125" s="26">
        <v>90</v>
      </c>
      <c r="N125" s="83">
        <f>SUM(F125:M125)</f>
        <v>90</v>
      </c>
      <c r="O125" s="27">
        <f t="shared" si="10"/>
        <v>9</v>
      </c>
      <c r="P125" s="29">
        <f t="shared" si="12"/>
        <v>11.111111111111111</v>
      </c>
      <c r="X125" s="84"/>
      <c r="Y125" s="1" t="s">
        <v>205</v>
      </c>
      <c r="Z125" s="1" t="s">
        <v>206</v>
      </c>
      <c r="AA125" s="1" t="s">
        <v>22</v>
      </c>
      <c r="AB125" s="30">
        <v>12.3</v>
      </c>
      <c r="AC125" s="30">
        <v>12.3</v>
      </c>
      <c r="AD125" s="30"/>
      <c r="AE125" s="30"/>
      <c r="AF125" s="30"/>
      <c r="AG125" s="30"/>
      <c r="AH125" s="30"/>
      <c r="AI125" s="30"/>
      <c r="AJ125" s="30"/>
      <c r="AK125" s="30">
        <v>13.340999999999999</v>
      </c>
      <c r="AL125" s="30">
        <v>13.340999999999999</v>
      </c>
      <c r="AM125" s="30">
        <v>1.0409999999999986</v>
      </c>
      <c r="AN125" s="31">
        <v>8.4634146341463321</v>
      </c>
      <c r="BB125" s="118"/>
      <c r="BD125" s="118"/>
    </row>
    <row r="126" spans="1:56" ht="31.5" hidden="1">
      <c r="A126" s="66" t="s">
        <v>208</v>
      </c>
      <c r="B126" s="23" t="s">
        <v>209</v>
      </c>
      <c r="C126" s="24" t="s">
        <v>22</v>
      </c>
      <c r="D126" s="27"/>
      <c r="E126" s="26">
        <f t="shared" si="11"/>
        <v>0</v>
      </c>
      <c r="F126" s="26"/>
      <c r="G126" s="26"/>
      <c r="H126" s="26"/>
      <c r="I126" s="26"/>
      <c r="J126" s="26"/>
      <c r="K126" s="26"/>
      <c r="L126" s="26"/>
      <c r="M126" s="26">
        <f>2.125+35.541</f>
        <v>37.665999999999997</v>
      </c>
      <c r="N126" s="27">
        <v>37.67</v>
      </c>
      <c r="O126" s="27">
        <f t="shared" si="10"/>
        <v>37.67</v>
      </c>
      <c r="P126" s="87"/>
      <c r="X126" s="84"/>
      <c r="Y126" s="1" t="s">
        <v>208</v>
      </c>
      <c r="Z126" s="1" t="s">
        <v>209</v>
      </c>
      <c r="AA126" s="1" t="s">
        <v>22</v>
      </c>
      <c r="AB126" s="30"/>
      <c r="AC126" s="30">
        <v>0</v>
      </c>
      <c r="AD126" s="30"/>
      <c r="AE126" s="30"/>
      <c r="AF126" s="30"/>
      <c r="AG126" s="30"/>
      <c r="AH126" s="30"/>
      <c r="AI126" s="30"/>
      <c r="AJ126" s="30"/>
      <c r="AK126" s="30">
        <v>37.665999999999997</v>
      </c>
      <c r="AL126" s="30">
        <v>37.665999999999997</v>
      </c>
      <c r="AM126" s="30">
        <v>37.665999999999997</v>
      </c>
      <c r="AN126" s="31"/>
      <c r="BB126" s="118"/>
      <c r="BD126" s="118"/>
    </row>
    <row r="127" spans="1:56" ht="31.5" hidden="1">
      <c r="A127" s="66" t="s">
        <v>210</v>
      </c>
      <c r="B127" s="23" t="s">
        <v>211</v>
      </c>
      <c r="C127" s="24" t="s">
        <v>22</v>
      </c>
      <c r="D127" s="27">
        <v>3.5</v>
      </c>
      <c r="E127" s="26">
        <f t="shared" si="11"/>
        <v>3.5</v>
      </c>
      <c r="F127" s="26"/>
      <c r="G127" s="26"/>
      <c r="H127" s="26"/>
      <c r="I127" s="26"/>
      <c r="J127" s="26"/>
      <c r="K127" s="26"/>
      <c r="L127" s="26"/>
      <c r="M127" s="26">
        <f>31.5+23.395+58.2+20.175</f>
        <v>133.27000000000001</v>
      </c>
      <c r="N127" s="27">
        <v>133.27000000000001</v>
      </c>
      <c r="O127" s="27">
        <f t="shared" si="10"/>
        <v>129.77000000000001</v>
      </c>
      <c r="P127" s="29">
        <f t="shared" ref="P127" si="19">O127/E127*100</f>
        <v>3707.7142857142862</v>
      </c>
      <c r="X127" s="84"/>
      <c r="Y127" s="1" t="s">
        <v>210</v>
      </c>
      <c r="Z127" s="1" t="s">
        <v>211</v>
      </c>
      <c r="AA127" s="1" t="s">
        <v>22</v>
      </c>
      <c r="AB127" s="30">
        <v>3.5</v>
      </c>
      <c r="AC127" s="30">
        <v>3.5</v>
      </c>
      <c r="AD127" s="30"/>
      <c r="AE127" s="30"/>
      <c r="AF127" s="30"/>
      <c r="AG127" s="30"/>
      <c r="AH127" s="30"/>
      <c r="AI127" s="30"/>
      <c r="AJ127" s="30"/>
      <c r="AK127" s="30">
        <v>133.27000000000001</v>
      </c>
      <c r="AL127" s="30">
        <v>133.27000000000001</v>
      </c>
      <c r="AM127" s="30">
        <v>129.77000000000001</v>
      </c>
      <c r="AN127" s="31"/>
      <c r="BB127" s="118"/>
      <c r="BD127" s="118"/>
    </row>
    <row r="128" spans="1:56" ht="47.25" hidden="1">
      <c r="A128" s="66" t="s">
        <v>212</v>
      </c>
      <c r="B128" s="23" t="s">
        <v>213</v>
      </c>
      <c r="C128" s="24" t="s">
        <v>22</v>
      </c>
      <c r="D128" s="27"/>
      <c r="E128" s="26">
        <f t="shared" si="11"/>
        <v>0</v>
      </c>
      <c r="F128" s="26"/>
      <c r="G128" s="26"/>
      <c r="H128" s="26"/>
      <c r="I128" s="26"/>
      <c r="J128" s="26"/>
      <c r="K128" s="26"/>
      <c r="L128" s="26"/>
      <c r="M128" s="26">
        <v>11.038</v>
      </c>
      <c r="N128" s="27">
        <v>11.04</v>
      </c>
      <c r="O128" s="27">
        <f t="shared" si="10"/>
        <v>11.04</v>
      </c>
      <c r="P128" s="94" t="s">
        <v>214</v>
      </c>
      <c r="X128" s="84"/>
      <c r="Y128" s="1" t="s">
        <v>212</v>
      </c>
      <c r="Z128" s="1" t="s">
        <v>213</v>
      </c>
      <c r="AA128" s="1" t="s">
        <v>22</v>
      </c>
      <c r="AB128" s="30"/>
      <c r="AC128" s="30">
        <v>0</v>
      </c>
      <c r="AD128" s="30"/>
      <c r="AE128" s="30"/>
      <c r="AF128" s="30"/>
      <c r="AG128" s="30"/>
      <c r="AH128" s="30"/>
      <c r="AI128" s="30"/>
      <c r="AJ128" s="30"/>
      <c r="AK128" s="30">
        <v>11.038</v>
      </c>
      <c r="AL128" s="30">
        <v>11.038</v>
      </c>
      <c r="AM128" s="30">
        <v>11.038</v>
      </c>
      <c r="AN128" s="31"/>
      <c r="BB128" s="118"/>
      <c r="BD128" s="118"/>
    </row>
    <row r="129" spans="1:60" ht="47.25" hidden="1">
      <c r="A129" s="66" t="s">
        <v>215</v>
      </c>
      <c r="B129" s="23" t="s">
        <v>216</v>
      </c>
      <c r="C129" s="24" t="s">
        <v>22</v>
      </c>
      <c r="D129" s="27"/>
      <c r="E129" s="26">
        <f t="shared" si="11"/>
        <v>0</v>
      </c>
      <c r="F129" s="26"/>
      <c r="G129" s="26"/>
      <c r="H129" s="26"/>
      <c r="I129" s="26"/>
      <c r="J129" s="26"/>
      <c r="K129" s="26"/>
      <c r="L129" s="26"/>
      <c r="M129" s="26">
        <v>18.2</v>
      </c>
      <c r="N129" s="27">
        <v>18.2</v>
      </c>
      <c r="O129" s="27">
        <f t="shared" si="10"/>
        <v>18.2</v>
      </c>
      <c r="P129" s="94" t="s">
        <v>214</v>
      </c>
      <c r="X129" s="84"/>
      <c r="Y129" s="1" t="s">
        <v>217</v>
      </c>
      <c r="Z129" s="1" t="s">
        <v>218</v>
      </c>
      <c r="AA129" s="1" t="s">
        <v>22</v>
      </c>
      <c r="AB129" s="30"/>
      <c r="AC129" s="30">
        <v>0</v>
      </c>
      <c r="AD129" s="30"/>
      <c r="AE129" s="30"/>
      <c r="AF129" s="30"/>
      <c r="AG129" s="30"/>
      <c r="AH129" s="30"/>
      <c r="AI129" s="30"/>
      <c r="AJ129" s="30"/>
      <c r="AK129" s="30"/>
      <c r="AL129" s="30">
        <v>0</v>
      </c>
      <c r="AM129" s="30"/>
      <c r="AN129" s="31"/>
      <c r="BB129" s="118"/>
      <c r="BD129" s="118"/>
    </row>
    <row r="130" spans="1:60" ht="47.25" hidden="1">
      <c r="A130" s="66" t="s">
        <v>219</v>
      </c>
      <c r="B130" s="23" t="s">
        <v>220</v>
      </c>
      <c r="C130" s="24" t="s">
        <v>22</v>
      </c>
      <c r="D130" s="27"/>
      <c r="E130" s="26">
        <f t="shared" si="11"/>
        <v>0</v>
      </c>
      <c r="F130" s="26"/>
      <c r="G130" s="26"/>
      <c r="H130" s="26"/>
      <c r="I130" s="26"/>
      <c r="J130" s="26"/>
      <c r="K130" s="26"/>
      <c r="L130" s="26"/>
      <c r="M130" s="26"/>
      <c r="N130" s="83">
        <v>212</v>
      </c>
      <c r="O130" s="27">
        <f t="shared" si="10"/>
        <v>212</v>
      </c>
      <c r="P130" s="94" t="s">
        <v>214</v>
      </c>
      <c r="S130" s="18"/>
      <c r="T130" s="18"/>
      <c r="U130" s="18"/>
      <c r="V130" s="18"/>
      <c r="W130" s="18"/>
      <c r="X130" s="84"/>
      <c r="Y130" s="1" t="s">
        <v>221</v>
      </c>
      <c r="Z130" s="1" t="s">
        <v>222</v>
      </c>
      <c r="AA130" s="1" t="s">
        <v>22</v>
      </c>
      <c r="AB130" s="30"/>
      <c r="AC130" s="30">
        <v>0</v>
      </c>
      <c r="AD130" s="30"/>
      <c r="AE130" s="30"/>
      <c r="AF130" s="30"/>
      <c r="AG130" s="30"/>
      <c r="AH130" s="30"/>
      <c r="AI130" s="30"/>
      <c r="AJ130" s="30"/>
      <c r="AK130" s="30"/>
      <c r="AL130" s="30">
        <v>134.44999999999999</v>
      </c>
      <c r="AM130" s="30"/>
      <c r="AN130" s="31"/>
      <c r="BB130" s="118"/>
      <c r="BD130" s="118"/>
    </row>
    <row r="131" spans="1:60" ht="47.25" hidden="1">
      <c r="A131" s="66" t="s">
        <v>221</v>
      </c>
      <c r="B131" s="23" t="s">
        <v>223</v>
      </c>
      <c r="C131" s="24" t="s">
        <v>22</v>
      </c>
      <c r="D131" s="27"/>
      <c r="E131" s="26">
        <f t="shared" si="11"/>
        <v>0</v>
      </c>
      <c r="F131" s="26"/>
      <c r="G131" s="26"/>
      <c r="H131" s="26"/>
      <c r="I131" s="26"/>
      <c r="J131" s="26"/>
      <c r="K131" s="26"/>
      <c r="L131" s="26"/>
      <c r="M131" s="26"/>
      <c r="N131" s="27">
        <v>212.1</v>
      </c>
      <c r="O131" s="27">
        <f t="shared" si="10"/>
        <v>212.1</v>
      </c>
      <c r="P131" s="94" t="s">
        <v>214</v>
      </c>
      <c r="S131" s="18"/>
      <c r="T131" s="18"/>
      <c r="U131" s="18"/>
      <c r="V131" s="18"/>
      <c r="W131" s="18"/>
      <c r="X131" s="84"/>
      <c r="Y131" s="1" t="s">
        <v>224</v>
      </c>
      <c r="Z131" s="1" t="s">
        <v>225</v>
      </c>
      <c r="AA131" s="1" t="s">
        <v>22</v>
      </c>
      <c r="AB131" s="30">
        <v>107484.7833</v>
      </c>
      <c r="AC131" s="30">
        <v>107484.7833</v>
      </c>
      <c r="AD131" s="30">
        <v>21510.261999999999</v>
      </c>
      <c r="AE131" s="30">
        <v>23831.573</v>
      </c>
      <c r="AF131" s="30">
        <v>14483.792999999998</v>
      </c>
      <c r="AG131" s="30">
        <v>10596.545</v>
      </c>
      <c r="AH131" s="30">
        <v>2024.5729999999999</v>
      </c>
      <c r="AI131" s="30">
        <v>5053.1940000000004</v>
      </c>
      <c r="AJ131" s="30">
        <v>2330.9100000000003</v>
      </c>
      <c r="AK131" s="30">
        <v>41803.064000000006</v>
      </c>
      <c r="AL131" s="30">
        <v>130641.942</v>
      </c>
      <c r="AM131" s="30">
        <v>23157.1587</v>
      </c>
      <c r="AN131" s="31">
        <v>21.544592628861906</v>
      </c>
      <c r="BB131" s="118"/>
      <c r="BD131" s="118"/>
    </row>
    <row r="132" spans="1:60" ht="47.25" hidden="1">
      <c r="A132" s="66" t="s">
        <v>226</v>
      </c>
      <c r="B132" s="23" t="s">
        <v>227</v>
      </c>
      <c r="C132" s="24" t="s">
        <v>22</v>
      </c>
      <c r="D132" s="27"/>
      <c r="E132" s="26">
        <f t="shared" si="11"/>
        <v>0</v>
      </c>
      <c r="F132" s="26"/>
      <c r="G132" s="26"/>
      <c r="H132" s="26"/>
      <c r="I132" s="26"/>
      <c r="J132" s="26"/>
      <c r="K132" s="26"/>
      <c r="L132" s="26"/>
      <c r="M132" s="26"/>
      <c r="N132" s="27">
        <v>134.44999999999999</v>
      </c>
      <c r="O132" s="27">
        <f t="shared" si="10"/>
        <v>134.44999999999999</v>
      </c>
      <c r="P132" s="94" t="s">
        <v>214</v>
      </c>
      <c r="S132" s="18"/>
      <c r="T132" s="18"/>
      <c r="U132" s="18"/>
      <c r="V132" s="18"/>
      <c r="W132" s="18"/>
      <c r="X132" s="84"/>
      <c r="Y132" s="1" t="s">
        <v>228</v>
      </c>
      <c r="Z132" s="1" t="s">
        <v>229</v>
      </c>
      <c r="AA132" s="1" t="s">
        <v>22</v>
      </c>
      <c r="AB132" s="30">
        <v>108643.29684000001</v>
      </c>
      <c r="AC132" s="30">
        <v>108643.29684000001</v>
      </c>
      <c r="AD132" s="30">
        <v>91800.03710799999</v>
      </c>
      <c r="AE132" s="30">
        <v>987.02643</v>
      </c>
      <c r="AF132" s="30">
        <v>15558.533743999998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108345.59728199999</v>
      </c>
      <c r="AM132" s="30">
        <v>-297.69955800002208</v>
      </c>
      <c r="AN132" s="31">
        <v>-0.27401557818927813</v>
      </c>
      <c r="BB132" s="118"/>
      <c r="BD132" s="118"/>
    </row>
    <row r="133" spans="1:60" s="18" customFormat="1">
      <c r="A133" s="11" t="s">
        <v>224</v>
      </c>
      <c r="B133" s="50" t="s">
        <v>225</v>
      </c>
      <c r="C133" s="13" t="s">
        <v>22</v>
      </c>
      <c r="D133" s="51" t="e">
        <f t="shared" ref="D133:M133" si="20">D11+D82</f>
        <v>#REF!</v>
      </c>
      <c r="E133" s="51">
        <f>E11+E82</f>
        <v>107484.77029999999</v>
      </c>
      <c r="F133" s="51" t="e">
        <f t="shared" si="20"/>
        <v>#REF!</v>
      </c>
      <c r="G133" s="51" t="e">
        <f t="shared" si="20"/>
        <v>#REF!</v>
      </c>
      <c r="H133" s="51" t="e">
        <f t="shared" si="20"/>
        <v>#REF!</v>
      </c>
      <c r="I133" s="51" t="e">
        <f t="shared" si="20"/>
        <v>#REF!</v>
      </c>
      <c r="J133" s="51" t="e">
        <f t="shared" si="20"/>
        <v>#REF!</v>
      </c>
      <c r="K133" s="51" t="e">
        <f t="shared" si="20"/>
        <v>#REF!</v>
      </c>
      <c r="L133" s="51" t="e">
        <f t="shared" si="20"/>
        <v>#REF!</v>
      </c>
      <c r="M133" s="51" t="e">
        <f t="shared" si="20"/>
        <v>#REF!</v>
      </c>
      <c r="N133" s="51">
        <f>N11+N82</f>
        <v>115544.34683899999</v>
      </c>
      <c r="O133" s="51">
        <f t="shared" si="10"/>
        <v>8059.5765390000015</v>
      </c>
      <c r="P133" s="95">
        <f t="shared" ref="P133:P138" si="21">O133/E133*100</f>
        <v>7.4983428038269739</v>
      </c>
      <c r="X133" s="3"/>
      <c r="Y133" s="18" t="s">
        <v>230</v>
      </c>
      <c r="Z133" s="18" t="s">
        <v>231</v>
      </c>
      <c r="AA133" s="18" t="s">
        <v>232</v>
      </c>
      <c r="AB133" s="17">
        <v>112934.82</v>
      </c>
      <c r="AC133" s="17">
        <v>112934.82</v>
      </c>
      <c r="AD133" s="17">
        <v>95426.233999999997</v>
      </c>
      <c r="AE133" s="17">
        <v>1026.0150000000001</v>
      </c>
      <c r="AF133" s="17">
        <v>16173.111999999999</v>
      </c>
      <c r="AG133" s="17"/>
      <c r="AH133" s="17"/>
      <c r="AI133" s="17"/>
      <c r="AJ133" s="17"/>
      <c r="AK133" s="17"/>
      <c r="AL133" s="17">
        <v>112625.36099999999</v>
      </c>
      <c r="AM133" s="17">
        <v>-309.45900000001711</v>
      </c>
      <c r="AN133" s="19">
        <v>-0.27401557818927813</v>
      </c>
      <c r="BB133" s="117"/>
      <c r="BD133" s="117"/>
    </row>
    <row r="134" spans="1:60" s="18" customFormat="1" ht="47.25">
      <c r="A134" s="11" t="s">
        <v>233</v>
      </c>
      <c r="B134" s="50" t="s">
        <v>234</v>
      </c>
      <c r="C134" s="13" t="s">
        <v>22</v>
      </c>
      <c r="D134" s="51">
        <v>1158.82</v>
      </c>
      <c r="E134" s="14">
        <f t="shared" si="11"/>
        <v>1158.82</v>
      </c>
      <c r="F134" s="51" t="e">
        <f t="shared" ref="F134:M134" si="22">F135-F133</f>
        <v>#REF!</v>
      </c>
      <c r="G134" s="51" t="e">
        <f t="shared" si="22"/>
        <v>#REF!</v>
      </c>
      <c r="H134" s="51" t="e">
        <f>H135-H133</f>
        <v>#REF!</v>
      </c>
      <c r="I134" s="51" t="e">
        <f>I135-I133</f>
        <v>#REF!</v>
      </c>
      <c r="J134" s="51" t="e">
        <f t="shared" si="22"/>
        <v>#REF!</v>
      </c>
      <c r="K134" s="51" t="e">
        <f t="shared" si="22"/>
        <v>#REF!</v>
      </c>
      <c r="L134" s="51" t="e">
        <f t="shared" si="22"/>
        <v>#REF!</v>
      </c>
      <c r="M134" s="51" t="e">
        <f t="shared" si="22"/>
        <v>#REF!</v>
      </c>
      <c r="N134" s="51">
        <f>N135-N133</f>
        <v>-7198.7495570000028</v>
      </c>
      <c r="O134" s="51">
        <f t="shared" si="10"/>
        <v>-8357.5695570000025</v>
      </c>
      <c r="P134" s="95">
        <f t="shared" si="21"/>
        <v>-721.21378272725735</v>
      </c>
      <c r="S134" s="1"/>
      <c r="T134" s="1"/>
      <c r="U134" s="1"/>
      <c r="V134" s="1"/>
      <c r="W134" s="1"/>
      <c r="X134" s="3"/>
      <c r="AA134" s="18" t="s">
        <v>22</v>
      </c>
      <c r="AB134" s="17">
        <v>108643.29684000001</v>
      </c>
      <c r="AC134" s="17">
        <v>108643.29684000001</v>
      </c>
      <c r="AD134" s="17">
        <v>91800.03710799999</v>
      </c>
      <c r="AE134" s="17">
        <v>987.02643</v>
      </c>
      <c r="AF134" s="17">
        <v>15558.533743999998</v>
      </c>
      <c r="AG134" s="17"/>
      <c r="AH134" s="17"/>
      <c r="AI134" s="17"/>
      <c r="AJ134" s="17"/>
      <c r="AK134" s="17"/>
      <c r="AL134" s="17">
        <v>108345.59728199999</v>
      </c>
      <c r="AM134" s="17">
        <v>-297.69955800002208</v>
      </c>
      <c r="AN134" s="19">
        <v>-0.27401557818927813</v>
      </c>
      <c r="BB134" s="117"/>
      <c r="BC134" s="17"/>
      <c r="BD134" s="123" t="s">
        <v>287</v>
      </c>
    </row>
    <row r="135" spans="1:60" s="18" customFormat="1">
      <c r="A135" s="11" t="s">
        <v>228</v>
      </c>
      <c r="B135" s="50" t="s">
        <v>229</v>
      </c>
      <c r="C135" s="13" t="s">
        <v>22</v>
      </c>
      <c r="D135" s="51">
        <f>D137</f>
        <v>108643.29684000001</v>
      </c>
      <c r="E135" s="14">
        <f t="shared" si="11"/>
        <v>108643.29684000001</v>
      </c>
      <c r="F135" s="51">
        <f t="shared" ref="F135:M135" si="23">F137</f>
        <v>91800.03710799999</v>
      </c>
      <c r="G135" s="51">
        <f t="shared" si="23"/>
        <v>987.02643</v>
      </c>
      <c r="H135" s="51">
        <f t="shared" si="23"/>
        <v>15558.533743999998</v>
      </c>
      <c r="I135" s="51">
        <f t="shared" si="23"/>
        <v>0</v>
      </c>
      <c r="J135" s="51">
        <f t="shared" si="23"/>
        <v>0</v>
      </c>
      <c r="K135" s="51">
        <f t="shared" si="23"/>
        <v>0</v>
      </c>
      <c r="L135" s="51">
        <f t="shared" si="23"/>
        <v>0</v>
      </c>
      <c r="M135" s="51">
        <f t="shared" si="23"/>
        <v>0</v>
      </c>
      <c r="N135" s="51">
        <f>N137</f>
        <v>108345.59728199999</v>
      </c>
      <c r="O135" s="51">
        <f t="shared" si="10"/>
        <v>-297.69955800002208</v>
      </c>
      <c r="P135" s="95">
        <f t="shared" si="21"/>
        <v>-0.27401557818928024</v>
      </c>
      <c r="R135" s="96"/>
      <c r="S135" s="1"/>
      <c r="T135" s="1"/>
      <c r="U135" s="1"/>
      <c r="V135" s="1"/>
      <c r="W135" s="1"/>
      <c r="X135" s="3"/>
      <c r="Y135" s="18" t="s">
        <v>235</v>
      </c>
      <c r="Z135" s="18" t="s">
        <v>236</v>
      </c>
      <c r="AA135" s="18" t="s">
        <v>237</v>
      </c>
      <c r="AB135" s="97">
        <v>0.96199999999999997</v>
      </c>
      <c r="AC135" s="17">
        <v>0.96199999999999997</v>
      </c>
      <c r="AD135" s="97">
        <v>0.96199999999999997</v>
      </c>
      <c r="AE135" s="97">
        <v>0.96199999999999997</v>
      </c>
      <c r="AF135" s="97">
        <v>0.96199999999999997</v>
      </c>
      <c r="AG135" s="97" t="e">
        <v>#DIV/0!</v>
      </c>
      <c r="AH135" s="97" t="e">
        <v>#DIV/0!</v>
      </c>
      <c r="AI135" s="97" t="e">
        <v>#DIV/0!</v>
      </c>
      <c r="AJ135" s="97" t="e">
        <v>#DIV/0!</v>
      </c>
      <c r="AK135" s="97" t="e">
        <v>#DIV/0!</v>
      </c>
      <c r="AL135" s="97">
        <v>0.96199999999999997</v>
      </c>
      <c r="AM135" s="17">
        <v>0</v>
      </c>
      <c r="AN135" s="19">
        <v>0</v>
      </c>
      <c r="BB135" s="117"/>
      <c r="BD135" s="117"/>
    </row>
    <row r="136" spans="1:60" s="18" customFormat="1">
      <c r="A136" s="133" t="s">
        <v>230</v>
      </c>
      <c r="B136" s="134" t="s">
        <v>231</v>
      </c>
      <c r="C136" s="13" t="s">
        <v>232</v>
      </c>
      <c r="D136" s="51">
        <v>112934.82</v>
      </c>
      <c r="E136" s="14">
        <f t="shared" si="11"/>
        <v>112934.82</v>
      </c>
      <c r="F136" s="14">
        <v>95426.233999999997</v>
      </c>
      <c r="G136" s="14">
        <v>1026.0150000000001</v>
      </c>
      <c r="H136" s="14">
        <v>16173.111999999999</v>
      </c>
      <c r="I136" s="14"/>
      <c r="J136" s="14"/>
      <c r="K136" s="14"/>
      <c r="L136" s="14"/>
      <c r="M136" s="14"/>
      <c r="N136" s="51">
        <f>SUM(F136:M136)</f>
        <v>112625.36099999999</v>
      </c>
      <c r="O136" s="51">
        <f t="shared" si="10"/>
        <v>-309.45900000001711</v>
      </c>
      <c r="P136" s="95">
        <f t="shared" si="21"/>
        <v>-0.27401557818927508</v>
      </c>
      <c r="R136" s="19"/>
      <c r="S136" s="1"/>
      <c r="T136" s="1"/>
      <c r="U136" s="1"/>
      <c r="V136" s="1"/>
      <c r="W136" s="1"/>
      <c r="X136" s="3"/>
      <c r="Z136" s="18" t="s">
        <v>238</v>
      </c>
      <c r="AB136" s="17"/>
      <c r="AC136" s="17">
        <v>0</v>
      </c>
      <c r="AD136" s="17"/>
      <c r="AE136" s="17"/>
      <c r="AF136" s="17"/>
      <c r="AG136" s="17"/>
      <c r="AH136" s="17"/>
      <c r="AI136" s="17"/>
      <c r="AJ136" s="17"/>
      <c r="AK136" s="17"/>
      <c r="BB136" s="117"/>
      <c r="BD136" s="118"/>
    </row>
    <row r="137" spans="1:60" s="18" customFormat="1">
      <c r="A137" s="133"/>
      <c r="B137" s="134"/>
      <c r="C137" s="13" t="s">
        <v>22</v>
      </c>
      <c r="D137" s="51">
        <f>D136*D138</f>
        <v>108643.29684000001</v>
      </c>
      <c r="E137" s="14">
        <f>E136*E138</f>
        <v>108643.29684000001</v>
      </c>
      <c r="F137" s="14">
        <f>F136*E138</f>
        <v>91800.03710799999</v>
      </c>
      <c r="G137" s="14">
        <f>G136*E138</f>
        <v>987.02643</v>
      </c>
      <c r="H137" s="14">
        <f>H136*E138</f>
        <v>15558.533743999998</v>
      </c>
      <c r="I137" s="14"/>
      <c r="J137" s="14"/>
      <c r="K137" s="14"/>
      <c r="L137" s="14"/>
      <c r="M137" s="14"/>
      <c r="N137" s="51">
        <f>SUM(F137:M137)</f>
        <v>108345.59728199999</v>
      </c>
      <c r="O137" s="51">
        <f t="shared" si="10"/>
        <v>-297.69955800002208</v>
      </c>
      <c r="P137" s="95">
        <f t="shared" si="21"/>
        <v>-0.27401557818928024</v>
      </c>
      <c r="S137" s="1"/>
      <c r="T137" s="1"/>
      <c r="U137" s="1"/>
      <c r="V137" s="1"/>
      <c r="W137" s="1"/>
      <c r="Y137" s="18" t="s">
        <v>239</v>
      </c>
      <c r="Z137" s="18" t="s">
        <v>240</v>
      </c>
      <c r="AA137" s="18" t="s">
        <v>241</v>
      </c>
      <c r="AB137" s="98">
        <v>72</v>
      </c>
      <c r="AC137" s="17">
        <v>72</v>
      </c>
      <c r="AD137" s="98"/>
      <c r="AE137" s="98"/>
      <c r="AF137" s="98"/>
      <c r="AG137" s="98"/>
      <c r="AH137" s="98"/>
      <c r="AI137" s="98"/>
      <c r="AJ137" s="98"/>
      <c r="AK137" s="98"/>
      <c r="BB137" s="117"/>
      <c r="BD137" s="117"/>
      <c r="BH137" s="17"/>
    </row>
    <row r="138" spans="1:60" s="18" customFormat="1">
      <c r="A138" s="11" t="s">
        <v>235</v>
      </c>
      <c r="B138" s="50" t="s">
        <v>236</v>
      </c>
      <c r="C138" s="13" t="s">
        <v>237</v>
      </c>
      <c r="D138" s="93">
        <v>0.96199999999999997</v>
      </c>
      <c r="E138" s="99">
        <f t="shared" si="11"/>
        <v>0.96199999999999997</v>
      </c>
      <c r="F138" s="93">
        <f t="shared" ref="F138:M138" si="24">F137/F136</f>
        <v>0.96199999999999997</v>
      </c>
      <c r="G138" s="93">
        <f t="shared" si="24"/>
        <v>0.96199999999999997</v>
      </c>
      <c r="H138" s="93">
        <f t="shared" si="24"/>
        <v>0.96199999999999997</v>
      </c>
      <c r="I138" s="93" t="e">
        <f t="shared" si="24"/>
        <v>#DIV/0!</v>
      </c>
      <c r="J138" s="93" t="e">
        <f t="shared" si="24"/>
        <v>#DIV/0!</v>
      </c>
      <c r="K138" s="93" t="e">
        <f t="shared" si="24"/>
        <v>#DIV/0!</v>
      </c>
      <c r="L138" s="93" t="e">
        <f t="shared" si="24"/>
        <v>#DIV/0!</v>
      </c>
      <c r="M138" s="93" t="e">
        <f t="shared" si="24"/>
        <v>#DIV/0!</v>
      </c>
      <c r="N138" s="93">
        <f>N137/N136</f>
        <v>0.96199999999999997</v>
      </c>
      <c r="O138" s="51">
        <f t="shared" si="10"/>
        <v>0</v>
      </c>
      <c r="P138" s="95">
        <f t="shared" si="21"/>
        <v>0</v>
      </c>
      <c r="S138" s="1"/>
      <c r="T138" s="100"/>
      <c r="U138" s="1"/>
      <c r="V138" s="1"/>
      <c r="W138" s="1"/>
      <c r="Y138" s="18" t="s">
        <v>242</v>
      </c>
      <c r="Z138" s="18" t="s">
        <v>243</v>
      </c>
      <c r="AA138" s="18" t="s">
        <v>241</v>
      </c>
      <c r="AB138" s="98">
        <v>65</v>
      </c>
      <c r="AC138" s="17">
        <v>65</v>
      </c>
      <c r="AD138" s="98"/>
      <c r="AE138" s="98"/>
      <c r="AF138" s="98"/>
      <c r="AG138" s="98"/>
      <c r="AH138" s="98"/>
      <c r="AI138" s="98"/>
      <c r="AJ138" s="98"/>
      <c r="AK138" s="98"/>
      <c r="BB138" s="117"/>
      <c r="BD138" s="117"/>
    </row>
    <row r="139" spans="1:60">
      <c r="A139" s="43"/>
      <c r="B139" s="48" t="s">
        <v>238</v>
      </c>
      <c r="C139" s="43"/>
      <c r="D139" s="27"/>
      <c r="E139" s="26"/>
      <c r="F139" s="27"/>
      <c r="G139" s="27"/>
      <c r="H139" s="27"/>
      <c r="I139" s="27"/>
      <c r="J139" s="27"/>
      <c r="K139" s="27"/>
      <c r="L139" s="27"/>
      <c r="M139" s="27"/>
      <c r="N139" s="66"/>
      <c r="O139" s="27"/>
      <c r="P139" s="95"/>
      <c r="Y139" s="1" t="s">
        <v>244</v>
      </c>
      <c r="Z139" s="1" t="s">
        <v>245</v>
      </c>
      <c r="AA139" s="1" t="s">
        <v>241</v>
      </c>
      <c r="AB139" s="101">
        <v>7</v>
      </c>
      <c r="AC139" s="30">
        <v>7</v>
      </c>
      <c r="AD139" s="101"/>
      <c r="AE139" s="101"/>
      <c r="AF139" s="101"/>
      <c r="AG139" s="101"/>
      <c r="AH139" s="101"/>
      <c r="AI139" s="101"/>
      <c r="AJ139" s="101"/>
      <c r="AK139" s="101"/>
      <c r="BB139" s="118"/>
      <c r="BD139" s="118"/>
    </row>
    <row r="140" spans="1:60" ht="31.5">
      <c r="A140" s="66" t="s">
        <v>239</v>
      </c>
      <c r="B140" s="23" t="s">
        <v>240</v>
      </c>
      <c r="C140" s="66" t="s">
        <v>241</v>
      </c>
      <c r="D140" s="42">
        <f>D141+D142</f>
        <v>72</v>
      </c>
      <c r="E140" s="26">
        <f>D140</f>
        <v>72</v>
      </c>
      <c r="F140" s="42"/>
      <c r="G140" s="42"/>
      <c r="H140" s="42"/>
      <c r="I140" s="42"/>
      <c r="J140" s="42"/>
      <c r="K140" s="42"/>
      <c r="L140" s="42"/>
      <c r="M140" s="42"/>
      <c r="N140" s="102">
        <v>72</v>
      </c>
      <c r="O140" s="27">
        <f t="shared" ref="O140:O145" si="25">N140-E140</f>
        <v>0</v>
      </c>
      <c r="P140" s="87">
        <f t="shared" ref="P140:P145" si="26">O140/E140*100</f>
        <v>0</v>
      </c>
      <c r="Y140" s="1" t="s">
        <v>246</v>
      </c>
      <c r="Z140" s="1" t="s">
        <v>247</v>
      </c>
      <c r="AA140" s="1" t="s">
        <v>40</v>
      </c>
      <c r="AB140" s="101">
        <v>74959</v>
      </c>
      <c r="AC140" s="30">
        <v>74959</v>
      </c>
      <c r="AD140" s="101"/>
      <c r="AE140" s="101"/>
      <c r="AF140" s="101"/>
      <c r="AG140" s="101"/>
      <c r="AH140" s="101"/>
      <c r="AI140" s="101"/>
      <c r="AJ140" s="101"/>
      <c r="AK140" s="101"/>
      <c r="AL140" s="101"/>
      <c r="BB140" s="118"/>
      <c r="BD140" s="118"/>
    </row>
    <row r="141" spans="1:60">
      <c r="A141" s="66" t="s">
        <v>242</v>
      </c>
      <c r="B141" s="23" t="s">
        <v>243</v>
      </c>
      <c r="C141" s="66" t="s">
        <v>241</v>
      </c>
      <c r="D141" s="42">
        <v>65</v>
      </c>
      <c r="E141" s="26">
        <f t="shared" si="11"/>
        <v>65</v>
      </c>
      <c r="F141" s="42"/>
      <c r="G141" s="42"/>
      <c r="H141" s="42"/>
      <c r="I141" s="42"/>
      <c r="J141" s="42"/>
      <c r="K141" s="42"/>
      <c r="L141" s="42"/>
      <c r="M141" s="42"/>
      <c r="N141" s="102">
        <v>65</v>
      </c>
      <c r="O141" s="27">
        <f t="shared" si="25"/>
        <v>0</v>
      </c>
      <c r="P141" s="87">
        <f t="shared" si="26"/>
        <v>0</v>
      </c>
      <c r="Y141" s="1" t="s">
        <v>248</v>
      </c>
      <c r="Z141" s="1" t="s">
        <v>243</v>
      </c>
      <c r="AA141" s="1" t="s">
        <v>40</v>
      </c>
      <c r="AB141" s="101">
        <v>71819</v>
      </c>
      <c r="AC141" s="30">
        <v>71819</v>
      </c>
      <c r="AD141" s="101"/>
      <c r="AE141" s="101"/>
      <c r="AF141" s="101"/>
      <c r="AG141" s="101"/>
      <c r="AH141" s="101"/>
      <c r="AI141" s="101"/>
      <c r="AJ141" s="101"/>
      <c r="AK141" s="101"/>
      <c r="AL141" s="101"/>
      <c r="BB141" s="118"/>
      <c r="BD141" s="118"/>
    </row>
    <row r="142" spans="1:60">
      <c r="A142" s="66" t="s">
        <v>244</v>
      </c>
      <c r="B142" s="23" t="s">
        <v>245</v>
      </c>
      <c r="C142" s="66" t="s">
        <v>241</v>
      </c>
      <c r="D142" s="42">
        <v>7</v>
      </c>
      <c r="E142" s="26">
        <f t="shared" si="11"/>
        <v>7</v>
      </c>
      <c r="F142" s="42"/>
      <c r="G142" s="42"/>
      <c r="H142" s="42"/>
      <c r="I142" s="42"/>
      <c r="J142" s="42"/>
      <c r="K142" s="42"/>
      <c r="L142" s="42"/>
      <c r="M142" s="42"/>
      <c r="N142" s="102">
        <v>7</v>
      </c>
      <c r="O142" s="27">
        <f t="shared" si="25"/>
        <v>0</v>
      </c>
      <c r="P142" s="87">
        <f t="shared" si="26"/>
        <v>0</v>
      </c>
      <c r="Y142" s="1" t="s">
        <v>249</v>
      </c>
      <c r="Z142" s="1" t="s">
        <v>245</v>
      </c>
      <c r="AA142" s="1" t="s">
        <v>40</v>
      </c>
      <c r="AB142" s="101">
        <v>104114</v>
      </c>
      <c r="AC142" s="30">
        <v>104114</v>
      </c>
      <c r="AD142" s="101"/>
      <c r="AE142" s="101"/>
      <c r="AF142" s="101"/>
      <c r="AG142" s="101"/>
      <c r="AH142" s="101"/>
      <c r="AI142" s="101"/>
      <c r="AJ142" s="101"/>
      <c r="AK142" s="101"/>
      <c r="AL142" s="101"/>
      <c r="BB142" s="118"/>
      <c r="BD142" s="118"/>
    </row>
    <row r="143" spans="1:60" ht="31.5">
      <c r="A143" s="66" t="s">
        <v>246</v>
      </c>
      <c r="B143" s="23" t="s">
        <v>247</v>
      </c>
      <c r="C143" s="66" t="s">
        <v>40</v>
      </c>
      <c r="D143" s="42">
        <v>74959</v>
      </c>
      <c r="E143" s="26">
        <f>D143</f>
        <v>74959</v>
      </c>
      <c r="F143" s="42"/>
      <c r="G143" s="42"/>
      <c r="H143" s="42"/>
      <c r="I143" s="42"/>
      <c r="J143" s="42"/>
      <c r="K143" s="42"/>
      <c r="L143" s="42"/>
      <c r="M143" s="42"/>
      <c r="N143" s="42">
        <f>(N55+N84)/12/N140*1000</f>
        <v>75906.25</v>
      </c>
      <c r="O143" s="27">
        <f t="shared" si="25"/>
        <v>947.25</v>
      </c>
      <c r="P143" s="87">
        <f t="shared" si="26"/>
        <v>1.2636908176469803</v>
      </c>
      <c r="Q143" s="103"/>
      <c r="R143" s="103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BB143" s="118"/>
      <c r="BD143" s="118"/>
    </row>
    <row r="144" spans="1:60">
      <c r="A144" s="66" t="s">
        <v>248</v>
      </c>
      <c r="B144" s="23" t="s">
        <v>243</v>
      </c>
      <c r="C144" s="66" t="s">
        <v>40</v>
      </c>
      <c r="D144" s="42">
        <v>71819</v>
      </c>
      <c r="E144" s="26">
        <f t="shared" ref="E144:E145" si="27">D144</f>
        <v>71819</v>
      </c>
      <c r="F144" s="42"/>
      <c r="G144" s="42"/>
      <c r="H144" s="42"/>
      <c r="I144" s="42"/>
      <c r="J144" s="42"/>
      <c r="K144" s="42"/>
      <c r="L144" s="42"/>
      <c r="M144" s="42"/>
      <c r="N144" s="42">
        <f>N55/N141/12*1000</f>
        <v>72483.333333333328</v>
      </c>
      <c r="O144" s="27">
        <f t="shared" si="25"/>
        <v>664.33333333332848</v>
      </c>
      <c r="P144" s="87">
        <f t="shared" si="26"/>
        <v>0.92501055895143136</v>
      </c>
      <c r="Q144" s="103"/>
      <c r="R144" s="103"/>
      <c r="BB144" s="118"/>
      <c r="BD144" s="118"/>
    </row>
    <row r="145" spans="1:56">
      <c r="A145" s="66" t="s">
        <v>249</v>
      </c>
      <c r="B145" s="23" t="s">
        <v>245</v>
      </c>
      <c r="C145" s="66" t="s">
        <v>40</v>
      </c>
      <c r="D145" s="42">
        <v>104114</v>
      </c>
      <c r="E145" s="26">
        <f t="shared" si="27"/>
        <v>104114</v>
      </c>
      <c r="F145" s="42"/>
      <c r="G145" s="42"/>
      <c r="H145" s="42"/>
      <c r="I145" s="42"/>
      <c r="J145" s="42"/>
      <c r="K145" s="42"/>
      <c r="L145" s="42"/>
      <c r="M145" s="42"/>
      <c r="N145" s="42">
        <f>N84/N142/12*1000</f>
        <v>107690.47619047618</v>
      </c>
      <c r="O145" s="27">
        <f t="shared" si="25"/>
        <v>3576.4761904761835</v>
      </c>
      <c r="P145" s="87">
        <f t="shared" si="26"/>
        <v>3.4351539566976426</v>
      </c>
      <c r="Q145" s="103"/>
      <c r="R145" s="103"/>
      <c r="BB145" s="118"/>
      <c r="BD145" s="118"/>
    </row>
    <row r="146" spans="1:56">
      <c r="A146" s="104"/>
      <c r="B146" s="105"/>
      <c r="C146" s="104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7"/>
      <c r="O146" s="103"/>
      <c r="P146" s="108"/>
      <c r="Q146" s="103"/>
      <c r="R146" s="103"/>
    </row>
    <row r="147" spans="1:56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1"/>
      <c r="O147" s="103"/>
      <c r="P147" s="103"/>
      <c r="Q147" s="103"/>
      <c r="R147" s="103"/>
    </row>
    <row r="148" spans="1:56">
      <c r="B148" s="18" t="s">
        <v>250</v>
      </c>
      <c r="F148" s="132" t="s">
        <v>251</v>
      </c>
      <c r="G148" s="132"/>
      <c r="H148" s="132"/>
      <c r="N148" s="135" t="s">
        <v>251</v>
      </c>
      <c r="O148" s="135"/>
      <c r="P148" s="135"/>
      <c r="Q148" s="103"/>
      <c r="R148" s="103"/>
    </row>
    <row r="149" spans="1:56">
      <c r="B149" s="18"/>
      <c r="C149" s="18"/>
      <c r="D149" s="18"/>
      <c r="E149" s="18"/>
      <c r="F149" s="132"/>
      <c r="G149" s="132"/>
      <c r="H149" s="67"/>
      <c r="I149" s="18"/>
      <c r="J149" s="18"/>
      <c r="K149" s="18"/>
      <c r="L149" s="18"/>
      <c r="M149" s="18"/>
      <c r="N149" s="132"/>
      <c r="O149" s="132"/>
      <c r="P149" s="67"/>
    </row>
    <row r="150" spans="1:56">
      <c r="B150" s="18" t="s">
        <v>252</v>
      </c>
      <c r="C150" s="18"/>
      <c r="D150" s="18"/>
      <c r="E150" s="18"/>
      <c r="F150" s="132" t="s">
        <v>253</v>
      </c>
      <c r="G150" s="132"/>
      <c r="H150" s="132"/>
      <c r="I150" s="18"/>
      <c r="J150" s="18"/>
      <c r="K150" s="18"/>
      <c r="L150" s="18"/>
      <c r="M150" s="18"/>
      <c r="N150" s="132" t="s">
        <v>254</v>
      </c>
      <c r="O150" s="132"/>
      <c r="P150" s="132"/>
    </row>
    <row r="152" spans="1:56">
      <c r="B152" s="18" t="s">
        <v>255</v>
      </c>
      <c r="C152" s="18"/>
      <c r="D152" s="18"/>
      <c r="E152" s="18"/>
      <c r="F152" s="132" t="s">
        <v>253</v>
      </c>
      <c r="G152" s="132"/>
      <c r="H152" s="132"/>
      <c r="I152" s="18"/>
      <c r="J152" s="18"/>
      <c r="K152" s="18"/>
      <c r="L152" s="18"/>
      <c r="M152" s="18"/>
      <c r="N152" s="132" t="s">
        <v>253</v>
      </c>
      <c r="O152" s="132"/>
      <c r="P152" s="132"/>
    </row>
  </sheetData>
  <mergeCells count="34">
    <mergeCell ref="Q82:Q83"/>
    <mergeCell ref="R82:R83"/>
    <mergeCell ref="A4:BD5"/>
    <mergeCell ref="A6:BD6"/>
    <mergeCell ref="A1:BD2"/>
    <mergeCell ref="F152:H152"/>
    <mergeCell ref="N152:P152"/>
    <mergeCell ref="A136:A137"/>
    <mergeCell ref="B136:B137"/>
    <mergeCell ref="F148:H148"/>
    <mergeCell ref="N148:P148"/>
    <mergeCell ref="F149:G149"/>
    <mergeCell ref="N149:O149"/>
    <mergeCell ref="F150:H150"/>
    <mergeCell ref="N150:P150"/>
    <mergeCell ref="Q104:R104"/>
    <mergeCell ref="H8:H9"/>
    <mergeCell ref="I8:I9"/>
    <mergeCell ref="BD8:BD9"/>
    <mergeCell ref="Q103:R103"/>
    <mergeCell ref="A8:A9"/>
    <mergeCell ref="B8:B9"/>
    <mergeCell ref="C8:C9"/>
    <mergeCell ref="D8:D9"/>
    <mergeCell ref="E8:E9"/>
    <mergeCell ref="F8:F9"/>
    <mergeCell ref="G8:G9"/>
    <mergeCell ref="BB8:BB9"/>
    <mergeCell ref="J8:J9"/>
    <mergeCell ref="K8:K9"/>
    <mergeCell ref="L8:L9"/>
    <mergeCell ref="M8:M9"/>
    <mergeCell ref="N8:N9"/>
    <mergeCell ref="O8:P8"/>
  </mergeCells>
  <pageMargins left="0.31496062992125984" right="0.31496062992125984" top="0.74803149606299213" bottom="0.74803149606299213" header="0.31496062992125984" footer="0.31496062992125984"/>
  <pageSetup paperSize="9" scale="65" orientation="portrait" horizontalDpi="180" verticalDpi="180" r:id="rId1"/>
  <ignoredErrors>
    <ignoredError sqref="E12 E54 E108 E110:E114 E133:E137 E116:E129 E66 E130:E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АГУ ПГУ СГУ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2017-04-29T08:33:24Z</dcterms:modified>
</cp:coreProperties>
</file>