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ГУ" sheetId="1" r:id="rId1"/>
  </sheets>
  <calcPr calcId="124519"/>
</workbook>
</file>

<file path=xl/calcChain.xml><?xml version="1.0" encoding="utf-8"?>
<calcChain xmlns="http://schemas.openxmlformats.org/spreadsheetml/2006/main">
  <c r="P10" i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9"/>
  <c r="O9"/>
  <c r="N128"/>
  <c r="N130"/>
  <c r="N129"/>
  <c r="N117"/>
  <c r="N86"/>
  <c r="N85"/>
  <c r="N84"/>
  <c r="N82"/>
  <c r="O117"/>
  <c r="E125"/>
  <c r="N120"/>
  <c r="O121"/>
  <c r="O122"/>
  <c r="F104" l="1"/>
  <c r="G104"/>
  <c r="H104"/>
  <c r="I104"/>
  <c r="J104"/>
  <c r="K104"/>
  <c r="L104"/>
  <c r="M104"/>
  <c r="M109"/>
  <c r="M95"/>
  <c r="N95" s="1"/>
  <c r="M93"/>
  <c r="N93" s="1"/>
  <c r="M89"/>
  <c r="M88"/>
  <c r="N11"/>
  <c r="N114"/>
  <c r="E117"/>
  <c r="E116"/>
  <c r="O116" s="1"/>
  <c r="E115"/>
  <c r="O115" s="1"/>
  <c r="M85"/>
  <c r="M84"/>
  <c r="M82"/>
  <c r="M90"/>
  <c r="N90" s="1"/>
  <c r="M87"/>
  <c r="J57"/>
  <c r="J56"/>
  <c r="J55"/>
  <c r="J53"/>
  <c r="N102"/>
  <c r="N101"/>
  <c r="N100"/>
  <c r="N99"/>
  <c r="N97"/>
  <c r="N96"/>
  <c r="N94"/>
  <c r="N91"/>
  <c r="N89"/>
  <c r="N88"/>
  <c r="O123"/>
  <c r="O124"/>
  <c r="O126"/>
  <c r="O127"/>
  <c r="O128"/>
  <c r="O129"/>
  <c r="O130"/>
  <c r="G22"/>
  <c r="G61"/>
  <c r="G65"/>
  <c r="G68"/>
  <c r="G69"/>
  <c r="N19"/>
  <c r="N79"/>
  <c r="O79" s="1"/>
  <c r="N78"/>
  <c r="O78" s="1"/>
  <c r="N77"/>
  <c r="O77" s="1"/>
  <c r="N76"/>
  <c r="O76" s="1"/>
  <c r="N75"/>
  <c r="O75" s="1"/>
  <c r="N74"/>
  <c r="O74" s="1"/>
  <c r="N73"/>
  <c r="O73" s="1"/>
  <c r="N71"/>
  <c r="O71" s="1"/>
  <c r="N70"/>
  <c r="O70" s="1"/>
  <c r="N68"/>
  <c r="O68" s="1"/>
  <c r="N64"/>
  <c r="O64" s="1"/>
  <c r="N63"/>
  <c r="O63" s="1"/>
  <c r="N61"/>
  <c r="O61" s="1"/>
  <c r="N59"/>
  <c r="O59" s="1"/>
  <c r="N58"/>
  <c r="O58" s="1"/>
  <c r="N49"/>
  <c r="O49" s="1"/>
  <c r="N46"/>
  <c r="O46" s="1"/>
  <c r="N43"/>
  <c r="O43" s="1"/>
  <c r="N39"/>
  <c r="O39" s="1"/>
  <c r="N36"/>
  <c r="O36" s="1"/>
  <c r="N30"/>
  <c r="O30" s="1"/>
  <c r="N27"/>
  <c r="O27" s="1"/>
  <c r="N16"/>
  <c r="O16" s="1"/>
  <c r="N12"/>
  <c r="O12" s="1"/>
  <c r="O11"/>
  <c r="E39"/>
  <c r="I56"/>
  <c r="N56" s="1"/>
  <c r="I55"/>
  <c r="N55" s="1"/>
  <c r="I57"/>
  <c r="N57" s="1"/>
  <c r="O57" s="1"/>
  <c r="I53"/>
  <c r="L57"/>
  <c r="L56"/>
  <c r="L55"/>
  <c r="L53"/>
  <c r="H65"/>
  <c r="H72"/>
  <c r="N72" s="1"/>
  <c r="O72" s="1"/>
  <c r="H6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2"/>
  <c r="O42" s="1"/>
  <c r="E43"/>
  <c r="E44"/>
  <c r="O44" s="1"/>
  <c r="E45"/>
  <c r="O45" s="1"/>
  <c r="E46"/>
  <c r="E47"/>
  <c r="O47" s="1"/>
  <c r="E48"/>
  <c r="O48" s="1"/>
  <c r="E49"/>
  <c r="E50"/>
  <c r="O50" s="1"/>
  <c r="E51"/>
  <c r="O51" s="1"/>
  <c r="E53"/>
  <c r="E57"/>
  <c r="E58"/>
  <c r="E59"/>
  <c r="E60"/>
  <c r="E61"/>
  <c r="E62"/>
  <c r="E63"/>
  <c r="E64"/>
  <c r="E65"/>
  <c r="E66"/>
  <c r="E68"/>
  <c r="E69"/>
  <c r="E70"/>
  <c r="E71"/>
  <c r="E72"/>
  <c r="E73"/>
  <c r="E74"/>
  <c r="E75"/>
  <c r="E76"/>
  <c r="E77"/>
  <c r="E78"/>
  <c r="E79"/>
  <c r="E82"/>
  <c r="E86"/>
  <c r="O86" s="1"/>
  <c r="E87"/>
  <c r="E88"/>
  <c r="O88" s="1"/>
  <c r="E89"/>
  <c r="O89" s="1"/>
  <c r="E90"/>
  <c r="E91"/>
  <c r="O91" s="1"/>
  <c r="E92"/>
  <c r="E93"/>
  <c r="E94"/>
  <c r="E95"/>
  <c r="E96"/>
  <c r="O96" s="1"/>
  <c r="E97"/>
  <c r="O97" s="1"/>
  <c r="E99"/>
  <c r="O99" s="1"/>
  <c r="E100"/>
  <c r="O100" s="1"/>
  <c r="E101"/>
  <c r="O101" s="1"/>
  <c r="E102"/>
  <c r="O102" s="1"/>
  <c r="E103"/>
  <c r="E105"/>
  <c r="E106"/>
  <c r="O106" s="1"/>
  <c r="E107"/>
  <c r="E108"/>
  <c r="E109"/>
  <c r="E110"/>
  <c r="E111"/>
  <c r="E112"/>
  <c r="E113"/>
  <c r="E114"/>
  <c r="E119"/>
  <c r="E120"/>
  <c r="O120" s="1"/>
  <c r="E121"/>
  <c r="E122"/>
  <c r="E9"/>
  <c r="E10"/>
  <c r="M15"/>
  <c r="M25"/>
  <c r="M40"/>
  <c r="M54"/>
  <c r="M52" s="1"/>
  <c r="M62"/>
  <c r="M67"/>
  <c r="M66" s="1"/>
  <c r="M98"/>
  <c r="M125"/>
  <c r="F69"/>
  <c r="N69" s="1"/>
  <c r="O69" s="1"/>
  <c r="F65"/>
  <c r="N65" s="1"/>
  <c r="O65" s="1"/>
  <c r="F53"/>
  <c r="N53" s="1"/>
  <c r="F22"/>
  <c r="N22" s="1"/>
  <c r="O22" s="1"/>
  <c r="G67"/>
  <c r="D104"/>
  <c r="E104" s="1"/>
  <c r="D85"/>
  <c r="E85" s="1"/>
  <c r="D84"/>
  <c r="E84" s="1"/>
  <c r="D56"/>
  <c r="D55"/>
  <c r="E55" s="1"/>
  <c r="N125"/>
  <c r="O125" s="1"/>
  <c r="L125"/>
  <c r="K125"/>
  <c r="J125"/>
  <c r="I125"/>
  <c r="H125"/>
  <c r="G125"/>
  <c r="F125"/>
  <c r="D125"/>
  <c r="N113"/>
  <c r="O113" s="1"/>
  <c r="N112"/>
  <c r="N111"/>
  <c r="O111" s="1"/>
  <c r="N110"/>
  <c r="O110" s="1"/>
  <c r="N109"/>
  <c r="N108"/>
  <c r="O108" s="1"/>
  <c r="N107"/>
  <c r="O107" s="1"/>
  <c r="N105"/>
  <c r="N103"/>
  <c r="O103" s="1"/>
  <c r="L98"/>
  <c r="K98"/>
  <c r="J98"/>
  <c r="I98"/>
  <c r="H98"/>
  <c r="G98"/>
  <c r="F98"/>
  <c r="D98"/>
  <c r="E98" s="1"/>
  <c r="L92"/>
  <c r="K92"/>
  <c r="J92"/>
  <c r="I92"/>
  <c r="H92"/>
  <c r="G92"/>
  <c r="F92"/>
  <c r="N87"/>
  <c r="O87" s="1"/>
  <c r="L83"/>
  <c r="L81" s="1"/>
  <c r="L80" s="1"/>
  <c r="K83"/>
  <c r="J83"/>
  <c r="J81" s="1"/>
  <c r="J80" s="1"/>
  <c r="I83"/>
  <c r="H83"/>
  <c r="H81" s="1"/>
  <c r="H80" s="1"/>
  <c r="G83"/>
  <c r="F83"/>
  <c r="D83"/>
  <c r="E83" s="1"/>
  <c r="I81"/>
  <c r="I80" s="1"/>
  <c r="D81"/>
  <c r="E81" s="1"/>
  <c r="D80"/>
  <c r="D118" s="1"/>
  <c r="E118" s="1"/>
  <c r="G66"/>
  <c r="L67"/>
  <c r="L66" s="1"/>
  <c r="K67"/>
  <c r="J67"/>
  <c r="J66" s="1"/>
  <c r="I67"/>
  <c r="I66" s="1"/>
  <c r="F67"/>
  <c r="F66" s="1"/>
  <c r="D67"/>
  <c r="E67" s="1"/>
  <c r="K66"/>
  <c r="J62"/>
  <c r="I62"/>
  <c r="L62"/>
  <c r="L60" s="1"/>
  <c r="K62"/>
  <c r="K60" s="1"/>
  <c r="H62"/>
  <c r="G62"/>
  <c r="G60" s="1"/>
  <c r="F62"/>
  <c r="K54"/>
  <c r="L54"/>
  <c r="J54"/>
  <c r="I54"/>
  <c r="H54"/>
  <c r="G54"/>
  <c r="F54"/>
  <c r="F52" s="1"/>
  <c r="D54"/>
  <c r="E54" s="1"/>
  <c r="H52"/>
  <c r="I52"/>
  <c r="G52"/>
  <c r="D52"/>
  <c r="E52" s="1"/>
  <c r="N41"/>
  <c r="D41"/>
  <c r="E41" s="1"/>
  <c r="L40"/>
  <c r="K40"/>
  <c r="J40"/>
  <c r="I40"/>
  <c r="H40"/>
  <c r="G40"/>
  <c r="F40"/>
  <c r="D40"/>
  <c r="E40" s="1"/>
  <c r="N38"/>
  <c r="N37"/>
  <c r="N35"/>
  <c r="N34"/>
  <c r="N33"/>
  <c r="O33" s="1"/>
  <c r="N32"/>
  <c r="N31"/>
  <c r="N29"/>
  <c r="N28"/>
  <c r="N26"/>
  <c r="L25"/>
  <c r="K25"/>
  <c r="J25"/>
  <c r="I25"/>
  <c r="H25"/>
  <c r="G25"/>
  <c r="F25"/>
  <c r="N25" s="1"/>
  <c r="O25" s="1"/>
  <c r="N24"/>
  <c r="N23"/>
  <c r="N21"/>
  <c r="N20"/>
  <c r="N18"/>
  <c r="N17"/>
  <c r="L15"/>
  <c r="L14" s="1"/>
  <c r="K15"/>
  <c r="J15"/>
  <c r="J14" s="1"/>
  <c r="I15"/>
  <c r="I14" s="1"/>
  <c r="H15"/>
  <c r="G15"/>
  <c r="F15"/>
  <c r="F14" s="1"/>
  <c r="F13" s="1"/>
  <c r="O95" l="1"/>
  <c r="N104"/>
  <c r="O104" s="1"/>
  <c r="O94"/>
  <c r="M92"/>
  <c r="N92" s="1"/>
  <c r="O93"/>
  <c r="O55"/>
  <c r="N54"/>
  <c r="N52" s="1"/>
  <c r="O52" s="1"/>
  <c r="O41"/>
  <c r="O53"/>
  <c r="O114"/>
  <c r="O112"/>
  <c r="O37"/>
  <c r="O35"/>
  <c r="O31"/>
  <c r="O29"/>
  <c r="O23"/>
  <c r="O21"/>
  <c r="O19"/>
  <c r="O17"/>
  <c r="I13"/>
  <c r="J13"/>
  <c r="L13"/>
  <c r="L10" s="1"/>
  <c r="M60"/>
  <c r="E56"/>
  <c r="O56" s="1"/>
  <c r="H14"/>
  <c r="H13" s="1"/>
  <c r="H10" s="1"/>
  <c r="M14"/>
  <c r="M13" s="1"/>
  <c r="M10" s="1"/>
  <c r="M9" s="1"/>
  <c r="K14"/>
  <c r="K13" s="1"/>
  <c r="K10" s="1"/>
  <c r="O109"/>
  <c r="O105"/>
  <c r="O38"/>
  <c r="O34"/>
  <c r="O32"/>
  <c r="O28"/>
  <c r="O26"/>
  <c r="O24"/>
  <c r="O20"/>
  <c r="O18"/>
  <c r="O90"/>
  <c r="O85"/>
  <c r="M83"/>
  <c r="M81" s="1"/>
  <c r="M80" s="1"/>
  <c r="N83"/>
  <c r="O83" s="1"/>
  <c r="O84"/>
  <c r="O82"/>
  <c r="O54"/>
  <c r="N98"/>
  <c r="O98" s="1"/>
  <c r="G14"/>
  <c r="G13" s="1"/>
  <c r="G10" s="1"/>
  <c r="G9" s="1"/>
  <c r="G118" s="1"/>
  <c r="E80"/>
  <c r="F81"/>
  <c r="F80" s="1"/>
  <c r="F60"/>
  <c r="J60"/>
  <c r="I60"/>
  <c r="J52"/>
  <c r="L52"/>
  <c r="L9" s="1"/>
  <c r="L118" s="1"/>
  <c r="G81"/>
  <c r="G80" s="1"/>
  <c r="K81"/>
  <c r="K80" s="1"/>
  <c r="N15"/>
  <c r="O15" s="1"/>
  <c r="K52"/>
  <c r="F10"/>
  <c r="F9" s="1"/>
  <c r="J10"/>
  <c r="J9" s="1"/>
  <c r="I10"/>
  <c r="H67"/>
  <c r="H66" s="1"/>
  <c r="H60" s="1"/>
  <c r="J118"/>
  <c r="N62"/>
  <c r="O62" s="1"/>
  <c r="N14"/>
  <c r="O14" s="1"/>
  <c r="N40"/>
  <c r="O40" s="1"/>
  <c r="O92" l="1"/>
  <c r="N81"/>
  <c r="O81" s="1"/>
  <c r="M118"/>
  <c r="N67"/>
  <c r="O67" s="1"/>
  <c r="K9"/>
  <c r="K118" s="1"/>
  <c r="F118"/>
  <c r="I9"/>
  <c r="I118" s="1"/>
  <c r="H9"/>
  <c r="H118" s="1"/>
  <c r="N13"/>
  <c r="N66"/>
  <c r="N80" l="1"/>
  <c r="O80" s="1"/>
  <c r="N60"/>
  <c r="O60" s="1"/>
  <c r="O66"/>
  <c r="N10"/>
  <c r="O13"/>
  <c r="O10" l="1"/>
  <c r="N9"/>
  <c r="N118" l="1"/>
  <c r="O118" s="1"/>
  <c r="N119" l="1"/>
  <c r="O119" s="1"/>
</calcChain>
</file>

<file path=xl/sharedStrings.xml><?xml version="1.0" encoding="utf-8"?>
<sst xmlns="http://schemas.openxmlformats.org/spreadsheetml/2006/main" count="385" uniqueCount="222">
  <si>
    <t>Акмолинский филиал республиканского  государственного  предприятия  на праве хозяйственного ведения "Казводхоз" МСХ  РК</t>
  </si>
  <si>
    <t>(тыс.тенге)</t>
  </si>
  <si>
    <t>№ п/п</t>
  </si>
  <si>
    <t>Наименование</t>
  </si>
  <si>
    <t>Единица измерен.</t>
  </si>
  <si>
    <t xml:space="preserve">Утверждено уполномоченным органом      </t>
  </si>
  <si>
    <t>Астанинское водохранилище</t>
  </si>
  <si>
    <t>Селетинское водохранилище</t>
  </si>
  <si>
    <t>Преображенский гидроузел</t>
  </si>
  <si>
    <t>Преображенский гидроузел 1</t>
  </si>
  <si>
    <t>РЭУ</t>
  </si>
  <si>
    <t>ОПТК</t>
  </si>
  <si>
    <t>Производственный участок</t>
  </si>
  <si>
    <t>АУП</t>
  </si>
  <si>
    <t>Фактические затраты</t>
  </si>
  <si>
    <t>Отклонение проекта СЕМ от действующей ТС 2017 г</t>
  </si>
  <si>
    <t>Причины отклонения</t>
  </si>
  <si>
    <t>сумма</t>
  </si>
  <si>
    <t>%</t>
  </si>
  <si>
    <t>I</t>
  </si>
  <si>
    <t>Затраты на производство и предоставление услуг-всего</t>
  </si>
  <si>
    <t>тыс.тенге</t>
  </si>
  <si>
    <t>Материальные затраты, всего</t>
  </si>
  <si>
    <t>1.1</t>
  </si>
  <si>
    <t>Сырьё и материалы, всего</t>
  </si>
  <si>
    <t>Рост закупочных цен на товары и материалы</t>
  </si>
  <si>
    <t>1.2</t>
  </si>
  <si>
    <t>Запасные части</t>
  </si>
  <si>
    <t>Износ запасных частей</t>
  </si>
  <si>
    <t>1.3</t>
  </si>
  <si>
    <t>ГСМ</t>
  </si>
  <si>
    <t>общая сумма</t>
  </si>
  <si>
    <t>1.3.1</t>
  </si>
  <si>
    <t>бензин</t>
  </si>
  <si>
    <t>АИ 92</t>
  </si>
  <si>
    <t>объем</t>
  </si>
  <si>
    <t>л</t>
  </si>
  <si>
    <t>цена</t>
  </si>
  <si>
    <t>тенге</t>
  </si>
  <si>
    <t>АИ 80</t>
  </si>
  <si>
    <t>1.3.2</t>
  </si>
  <si>
    <t>дизтопливо</t>
  </si>
  <si>
    <t>1.3.3</t>
  </si>
  <si>
    <t>Масла и смазки</t>
  </si>
  <si>
    <t>Моторное масло</t>
  </si>
  <si>
    <t xml:space="preserve">трансмиссионное </t>
  </si>
  <si>
    <t>специальное</t>
  </si>
  <si>
    <t>пластические</t>
  </si>
  <si>
    <t>1.4</t>
  </si>
  <si>
    <t>электроэнергия</t>
  </si>
  <si>
    <t>Снижение объемов</t>
  </si>
  <si>
    <t>кВт</t>
  </si>
  <si>
    <t>тенгеъ</t>
  </si>
  <si>
    <t>ТОО "АРЭК-Энергосбыт" п. Аршалы (Астанинское водохранилище</t>
  </si>
  <si>
    <t>ТОО "АРЭК-Энергосбыт" (Преображенский гидроузел)</t>
  </si>
  <si>
    <t>ТОО "АРЭК-Энергосбыт" г.Степногорск Селетинское водохранилище</t>
  </si>
  <si>
    <t>2</t>
  </si>
  <si>
    <t>Затраты на оплату труда, всего</t>
  </si>
  <si>
    <t xml:space="preserve">За счет без содержание </t>
  </si>
  <si>
    <t>2.1</t>
  </si>
  <si>
    <t>Заработная плата производственного персонала</t>
  </si>
  <si>
    <t>2.2</t>
  </si>
  <si>
    <t>социальный налог</t>
  </si>
  <si>
    <t>2.2.1</t>
  </si>
  <si>
    <t>социальные отчисления</t>
  </si>
  <si>
    <t>2.2.2</t>
  </si>
  <si>
    <t>2.3</t>
  </si>
  <si>
    <t>Мед. страхование</t>
  </si>
  <si>
    <t>Не предусмотренно ТС</t>
  </si>
  <si>
    <t>3</t>
  </si>
  <si>
    <t>Амортизация</t>
  </si>
  <si>
    <t>4</t>
  </si>
  <si>
    <t>Капитальный ремонт не приводящий к увеличению стоимости основных средств</t>
  </si>
  <si>
    <t>5</t>
  </si>
  <si>
    <t>Прочие затраты, всего</t>
  </si>
  <si>
    <t>Не предусмотренно ТС и удорожание цен на товары и услуг.</t>
  </si>
  <si>
    <t>5.1</t>
  </si>
  <si>
    <t>Услуги связи</t>
  </si>
  <si>
    <t>Дополнительной устройства (тревожной кнопки)</t>
  </si>
  <si>
    <t>5.2</t>
  </si>
  <si>
    <t>Командировки</t>
  </si>
  <si>
    <t>Передислокацие филиала</t>
  </si>
  <si>
    <t>5.2.1</t>
  </si>
  <si>
    <t>За проезд</t>
  </si>
  <si>
    <t>5.2.2</t>
  </si>
  <si>
    <t>Проживание</t>
  </si>
  <si>
    <t>5.2.3</t>
  </si>
  <si>
    <t>Суточные</t>
  </si>
  <si>
    <t>5.3</t>
  </si>
  <si>
    <t>Охрана труда и ТБ</t>
  </si>
  <si>
    <t>5.3.1</t>
  </si>
  <si>
    <t>Страхование, в том числе</t>
  </si>
  <si>
    <t>5.3.1.1</t>
  </si>
  <si>
    <t>Обязательное страхование ГПО владельцев объектов, деятельность связанная с опасностью причинения вреда третьим лицам</t>
  </si>
  <si>
    <t>Согласно заключенным договорам</t>
  </si>
  <si>
    <t>5.3.1.2</t>
  </si>
  <si>
    <t>Обязательное страхование ГПО владельцев ТС</t>
  </si>
  <si>
    <t>5.3.1.3</t>
  </si>
  <si>
    <t>Обязательное страхование ГПО перевозчика перед пассажирами</t>
  </si>
  <si>
    <t>5.3.1.4</t>
  </si>
  <si>
    <t>обследование грузоподъемного крана</t>
  </si>
  <si>
    <t>Проводит проверки 3 года один раз. Провели 2016 г.</t>
  </si>
  <si>
    <t>5.3.1.5</t>
  </si>
  <si>
    <t>Обязательное страхование ГПО работодателя за причинение вреда жизни и здоровью работника при исполнение им трудовых обязанностей</t>
  </si>
  <si>
    <t>5.3.1.6</t>
  </si>
  <si>
    <t>обязательное экологическое стразование</t>
  </si>
  <si>
    <t>5.3.2</t>
  </si>
  <si>
    <t>обучение и проверка знаний по ТБ и ОТ</t>
  </si>
  <si>
    <t>5.3.3</t>
  </si>
  <si>
    <t>спец.одежда</t>
  </si>
  <si>
    <t>За счет увеличения цен</t>
  </si>
  <si>
    <t>5.3.4</t>
  </si>
  <si>
    <t>услуги по обслуживанию систем видеонаблюдения</t>
  </si>
  <si>
    <t>5.3.5</t>
  </si>
  <si>
    <t>Охрана пультом</t>
  </si>
  <si>
    <t>5.3.6</t>
  </si>
  <si>
    <t>Мед.осмотр</t>
  </si>
  <si>
    <t>5.3.7</t>
  </si>
  <si>
    <t>перезарядка ОП-5</t>
  </si>
  <si>
    <t>II</t>
  </si>
  <si>
    <t>Расходы периода, всего</t>
  </si>
  <si>
    <t>6</t>
  </si>
  <si>
    <t>Общие административные расходы</t>
  </si>
  <si>
    <t>Фактическое начисление, согласно штатному расписанию</t>
  </si>
  <si>
    <t>6.1</t>
  </si>
  <si>
    <t>Заработная плата административного перснола</t>
  </si>
  <si>
    <t>6.2</t>
  </si>
  <si>
    <t>Социальный налог</t>
  </si>
  <si>
    <t>6.2.1</t>
  </si>
  <si>
    <t>6.2.2</t>
  </si>
  <si>
    <t>6.3</t>
  </si>
  <si>
    <t>Мед.страхование</t>
  </si>
  <si>
    <t>6.4</t>
  </si>
  <si>
    <t>Приобретение ОС</t>
  </si>
  <si>
    <t>6.5</t>
  </si>
  <si>
    <t>Расходы на содержание и обслуживание технических средств управления, узлов связи, вычислительной техники ит.д.</t>
  </si>
  <si>
    <t>6.6</t>
  </si>
  <si>
    <t>услуги банков</t>
  </si>
  <si>
    <t>Затраты были переданы КГВ</t>
  </si>
  <si>
    <t>6.7</t>
  </si>
  <si>
    <t>6.8</t>
  </si>
  <si>
    <t>канцтовары</t>
  </si>
  <si>
    <t>6.9</t>
  </si>
  <si>
    <t>6.8.1</t>
  </si>
  <si>
    <t>6.8.2</t>
  </si>
  <si>
    <t>6.8.3</t>
  </si>
  <si>
    <t>электроэнергия покупная</t>
  </si>
  <si>
    <t>6.10</t>
  </si>
  <si>
    <t>В связи с частой поломкой</t>
  </si>
  <si>
    <t>6.11</t>
  </si>
  <si>
    <t>Налоги</t>
  </si>
  <si>
    <t>Увеличение налогооблагаемый базы</t>
  </si>
  <si>
    <t>6.11.1</t>
  </si>
  <si>
    <t>Налог на имущество</t>
  </si>
  <si>
    <t>6.11.2</t>
  </si>
  <si>
    <t>Налог на землю</t>
  </si>
  <si>
    <t>6.11.3</t>
  </si>
  <si>
    <t>Налог на транспорт</t>
  </si>
  <si>
    <t>6.11.4</t>
  </si>
  <si>
    <t>оплата за эмиссию в окружающую среду</t>
  </si>
  <si>
    <t>6.11.5</t>
  </si>
  <si>
    <t>Налог на воду</t>
  </si>
  <si>
    <t>6.12</t>
  </si>
  <si>
    <t>Прочие расходы</t>
  </si>
  <si>
    <t>6.12.1</t>
  </si>
  <si>
    <t>Хоз. Товары</t>
  </si>
  <si>
    <t>6.12.2</t>
  </si>
  <si>
    <t>аудиторские услуги</t>
  </si>
  <si>
    <t>6.12.3</t>
  </si>
  <si>
    <t>услуги дезинсекции</t>
  </si>
  <si>
    <t>6.12.4</t>
  </si>
  <si>
    <t>комунальные услуги</t>
  </si>
  <si>
    <t>6.12.5</t>
  </si>
  <si>
    <t>почтовые услуги</t>
  </si>
  <si>
    <t>6.12.6</t>
  </si>
  <si>
    <t>база "закон</t>
  </si>
  <si>
    <t>6.12.7</t>
  </si>
  <si>
    <t>6.12.8</t>
  </si>
  <si>
    <t>обслуживание 1 С</t>
  </si>
  <si>
    <t>В связи переходом на 1С (облако)</t>
  </si>
  <si>
    <t>6.12.9</t>
  </si>
  <si>
    <t>6.12.10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</si>
  <si>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</si>
  <si>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</si>
  <si>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</si>
  <si>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</si>
  <si>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</si>
  <si>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</si>
  <si>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</si>
  <si>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</si>
  <si>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</si>
  <si>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</si>
  <si>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Тариф без НДС</t>
  </si>
  <si>
    <t>Справочно</t>
  </si>
  <si>
    <t>Среднесписочная численность работников, всего</t>
  </si>
  <si>
    <t>человек</t>
  </si>
  <si>
    <t>7.1</t>
  </si>
  <si>
    <t>Производственного персонала</t>
  </si>
  <si>
    <t>7.2</t>
  </si>
  <si>
    <t>Административного персонала</t>
  </si>
  <si>
    <t>8</t>
  </si>
  <si>
    <t>Среднемесячная заработная плата, всего</t>
  </si>
  <si>
    <t>8.1</t>
  </si>
  <si>
    <t>8.2</t>
  </si>
  <si>
    <t>Директор</t>
  </si>
  <si>
    <t>Е. Бадашев</t>
  </si>
  <si>
    <t>Главный бухгалтер</t>
  </si>
  <si>
    <t>А. Алшинбаева</t>
  </si>
  <si>
    <t>А. Кансейтов</t>
  </si>
  <si>
    <t>Тарифная смета  на услугу по регулированию поверхностного стока при помощи подпорных гидротехнических сооружений по Астанинскому, Селетинскому и Преображенскому гидроузлам за 5 мес 2018</t>
  </si>
  <si>
    <t>Начальник отдела тарифообразования, планирования и экономического анализа</t>
  </si>
  <si>
    <t>А. Абельдинов</t>
  </si>
  <si>
    <t xml:space="preserve">Утверждено уполномоченным органом  5 мес.    </t>
  </si>
  <si>
    <t>Пропан-бутан газ</t>
  </si>
  <si>
    <t>6.12.11</t>
  </si>
  <si>
    <t>6.12.12</t>
  </si>
  <si>
    <t>6.12.13</t>
  </si>
  <si>
    <t>Госпошлина</t>
  </si>
  <si>
    <t>Аренда офиса</t>
  </si>
  <si>
    <t>регистрационный сбор</t>
  </si>
  <si>
    <t>Объявление в газету</t>
  </si>
  <si>
    <t>Исп.Жумажанов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</si>
</sst>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#,##0.00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5" fillId="2" borderId="0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4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164" fontId="9" fillId="2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1" fontId="4" fillId="2" borderId="0" xfId="0" applyNumberFormat="1" applyFont="1" applyFill="1"/>
    <xf numFmtId="0" fontId="8" fillId="2" borderId="1" xfId="0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6" fillId="2" borderId="0" xfId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center" vertical="top" wrapText="1"/>
    </xf>
    <xf numFmtId="4" fontId="4" fillId="2" borderId="0" xfId="0" applyNumberFormat="1" applyFont="1" applyFill="1"/>
    <xf numFmtId="0" fontId="9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wrapText="1"/>
    </xf>
    <xf numFmtId="0" fontId="5" fillId="2" borderId="0" xfId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44302</xdr:colOff>
      <xdr:row>5</xdr:row>
      <xdr:rowOff>44303</xdr:rowOff>
    </xdr:from>
    <xdr:ext cx="125375" cy="264560"/>
    <xdr:sp macro="" textlink="">
      <xdr:nvSpPr>
        <xdr:cNvPr id="2" name="TextBox 1"/>
        <xdr:cNvSpPr txBox="1"/>
      </xdr:nvSpPr>
      <xdr:spPr>
        <a:xfrm>
          <a:off x="568177" y="113015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5</xdr:row>
      <xdr:rowOff>254739</xdr:rowOff>
    </xdr:from>
    <xdr:ext cx="125375" cy="264560"/>
    <xdr:sp macro="" textlink="">
      <xdr:nvSpPr>
        <xdr:cNvPr id="3" name="TextBox 2"/>
        <xdr:cNvSpPr txBox="1"/>
      </xdr:nvSpPr>
      <xdr:spPr>
        <a:xfrm>
          <a:off x="645706" y="132153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6</xdr:row>
      <xdr:rowOff>509477</xdr:rowOff>
    </xdr:from>
    <xdr:ext cx="125375" cy="264560"/>
    <xdr:sp macro="" textlink="">
      <xdr:nvSpPr>
        <xdr:cNvPr id="4" name="TextBox 3"/>
        <xdr:cNvSpPr txBox="1"/>
      </xdr:nvSpPr>
      <xdr:spPr>
        <a:xfrm>
          <a:off x="2107682" y="17667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6</xdr:row>
      <xdr:rowOff>487326</xdr:rowOff>
    </xdr:from>
    <xdr:ext cx="125375" cy="264560"/>
    <xdr:sp macro="" textlink="">
      <xdr:nvSpPr>
        <xdr:cNvPr id="5" name="TextBox 4"/>
        <xdr:cNvSpPr txBox="1"/>
      </xdr:nvSpPr>
      <xdr:spPr>
        <a:xfrm>
          <a:off x="2362421" y="176367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6</xdr:row>
      <xdr:rowOff>631308</xdr:rowOff>
    </xdr:from>
    <xdr:ext cx="125375" cy="264560"/>
    <xdr:sp macro="" textlink="">
      <xdr:nvSpPr>
        <xdr:cNvPr id="6" name="TextBox 5"/>
        <xdr:cNvSpPr txBox="1"/>
      </xdr:nvSpPr>
      <xdr:spPr>
        <a:xfrm>
          <a:off x="590328" y="176478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6</xdr:row>
      <xdr:rowOff>553780</xdr:rowOff>
    </xdr:from>
    <xdr:ext cx="125375" cy="264560"/>
    <xdr:sp macro="" textlink="">
      <xdr:nvSpPr>
        <xdr:cNvPr id="7" name="TextBox 6"/>
        <xdr:cNvSpPr txBox="1"/>
      </xdr:nvSpPr>
      <xdr:spPr>
        <a:xfrm>
          <a:off x="1066578" y="176345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5</xdr:row>
      <xdr:rowOff>387646</xdr:rowOff>
    </xdr:from>
    <xdr:ext cx="66454" cy="264560"/>
    <xdr:sp macro="" textlink="">
      <xdr:nvSpPr>
        <xdr:cNvPr id="8" name="TextBox 7"/>
        <xdr:cNvSpPr txBox="1"/>
      </xdr:nvSpPr>
      <xdr:spPr>
        <a:xfrm flipH="1">
          <a:off x="1542828" y="132109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5</xdr:row>
      <xdr:rowOff>199361</xdr:rowOff>
    </xdr:from>
    <xdr:ext cx="125375" cy="264560"/>
    <xdr:sp macro="" textlink="">
      <xdr:nvSpPr>
        <xdr:cNvPr id="9" name="TextBox 8"/>
        <xdr:cNvSpPr txBox="1"/>
      </xdr:nvSpPr>
      <xdr:spPr>
        <a:xfrm>
          <a:off x="966898" y="128521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6</xdr:row>
      <xdr:rowOff>542703</xdr:rowOff>
    </xdr:from>
    <xdr:ext cx="125375" cy="264560"/>
    <xdr:sp macro="" textlink="">
      <xdr:nvSpPr>
        <xdr:cNvPr id="10" name="TextBox 9"/>
        <xdr:cNvSpPr txBox="1"/>
      </xdr:nvSpPr>
      <xdr:spPr>
        <a:xfrm>
          <a:off x="2462101" y="17619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6</xdr:row>
      <xdr:rowOff>454099</xdr:rowOff>
    </xdr:from>
    <xdr:ext cx="66454" cy="264560"/>
    <xdr:sp macro="" textlink="">
      <xdr:nvSpPr>
        <xdr:cNvPr id="11" name="TextBox 10"/>
        <xdr:cNvSpPr txBox="1"/>
      </xdr:nvSpPr>
      <xdr:spPr>
        <a:xfrm flipH="1">
          <a:off x="2484253" y="17590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5</xdr:row>
      <xdr:rowOff>454099</xdr:rowOff>
    </xdr:from>
    <xdr:ext cx="66454" cy="264560"/>
    <xdr:sp macro="" textlink="">
      <xdr:nvSpPr>
        <xdr:cNvPr id="12" name="TextBox 11"/>
        <xdr:cNvSpPr txBox="1"/>
      </xdr:nvSpPr>
      <xdr:spPr>
        <a:xfrm flipH="1">
          <a:off x="2561782" y="132087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6</xdr:row>
      <xdr:rowOff>520552</xdr:rowOff>
    </xdr:from>
    <xdr:ext cx="66454" cy="264560"/>
    <xdr:sp macro="" textlink="">
      <xdr:nvSpPr>
        <xdr:cNvPr id="13" name="TextBox 12"/>
        <xdr:cNvSpPr txBox="1"/>
      </xdr:nvSpPr>
      <xdr:spPr>
        <a:xfrm flipH="1">
          <a:off x="2229514" y="175880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6</xdr:row>
      <xdr:rowOff>564854</xdr:rowOff>
    </xdr:from>
    <xdr:ext cx="66454" cy="264560"/>
    <xdr:sp macro="" textlink="">
      <xdr:nvSpPr>
        <xdr:cNvPr id="14" name="TextBox 13"/>
        <xdr:cNvSpPr txBox="1"/>
      </xdr:nvSpPr>
      <xdr:spPr>
        <a:xfrm flipH="1">
          <a:off x="2295968" y="17650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6</xdr:row>
      <xdr:rowOff>498400</xdr:rowOff>
    </xdr:from>
    <xdr:ext cx="184731" cy="255111"/>
    <xdr:sp macro="" textlink="">
      <xdr:nvSpPr>
        <xdr:cNvPr id="15" name="TextBox 14"/>
        <xdr:cNvSpPr txBox="1"/>
      </xdr:nvSpPr>
      <xdr:spPr>
        <a:xfrm>
          <a:off x="2455456" y="1765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6</xdr:row>
      <xdr:rowOff>476250</xdr:rowOff>
    </xdr:from>
    <xdr:ext cx="66454" cy="264560"/>
    <xdr:sp macro="" textlink="">
      <xdr:nvSpPr>
        <xdr:cNvPr id="16" name="TextBox 15"/>
        <xdr:cNvSpPr txBox="1"/>
      </xdr:nvSpPr>
      <xdr:spPr>
        <a:xfrm flipH="1">
          <a:off x="2384572" y="176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6</xdr:row>
      <xdr:rowOff>487325</xdr:rowOff>
    </xdr:from>
    <xdr:ext cx="175008" cy="255111"/>
    <xdr:sp macro="" textlink="">
      <xdr:nvSpPr>
        <xdr:cNvPr id="17" name="TextBox 16"/>
        <xdr:cNvSpPr txBox="1"/>
      </xdr:nvSpPr>
      <xdr:spPr>
        <a:xfrm>
          <a:off x="2276696" y="1763675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5</xdr:row>
      <xdr:rowOff>343343</xdr:rowOff>
    </xdr:from>
    <xdr:ext cx="125375" cy="264560"/>
    <xdr:sp macro="" textlink="">
      <xdr:nvSpPr>
        <xdr:cNvPr id="18" name="TextBox 17"/>
        <xdr:cNvSpPr txBox="1"/>
      </xdr:nvSpPr>
      <xdr:spPr>
        <a:xfrm>
          <a:off x="1517133" y="132441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6</xdr:row>
      <xdr:rowOff>465174</xdr:rowOff>
    </xdr:from>
    <xdr:ext cx="125375" cy="264560"/>
    <xdr:sp macro="" textlink="">
      <xdr:nvSpPr>
        <xdr:cNvPr id="19" name="TextBox 18"/>
        <xdr:cNvSpPr txBox="1"/>
      </xdr:nvSpPr>
      <xdr:spPr>
        <a:xfrm>
          <a:off x="2403180" y="17605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6</xdr:row>
      <xdr:rowOff>409796</xdr:rowOff>
    </xdr:from>
    <xdr:ext cx="125375" cy="264560"/>
    <xdr:sp macro="" textlink="">
      <xdr:nvSpPr>
        <xdr:cNvPr id="20" name="TextBox 19"/>
        <xdr:cNvSpPr txBox="1"/>
      </xdr:nvSpPr>
      <xdr:spPr>
        <a:xfrm>
          <a:off x="2469633" y="173377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2"/>
  <sheetViews>
    <sheetView tabSelected="1" zoomScale="70" zoomScaleNormal="70" workbookViewId="0">
      <pane ySplit="7" topLeftCell="A129" activePane="bottomLeft" state="frozen"/>
      <selection pane="bottomLeft" activeCell="A142" sqref="A142"/>
    </sheetView>
  </sheetViews>
  <sheetFormatPr defaultRowHeight="15.75"/>
  <cols>
    <col min="1" max="1" width="7.85546875" style="29" customWidth="1"/>
    <col min="2" max="2" width="35.7109375" style="11" customWidth="1"/>
    <col min="3" max="3" width="11.7109375" style="11" customWidth="1"/>
    <col min="4" max="4" width="17.42578125" style="11" customWidth="1"/>
    <col min="5" max="5" width="15.85546875" style="11" customWidth="1"/>
    <col min="6" max="13" width="17.140625" style="11" hidden="1" customWidth="1"/>
    <col min="14" max="14" width="15.85546875" style="11" customWidth="1"/>
    <col min="15" max="15" width="14" style="11" customWidth="1"/>
    <col min="16" max="16" width="12.140625" style="11" customWidth="1"/>
    <col min="17" max="17" width="26.42578125" style="11" hidden="1" customWidth="1"/>
    <col min="18" max="18" width="19.5703125" style="11" customWidth="1"/>
    <col min="19" max="16384" width="9.140625" style="11"/>
  </cols>
  <sheetData>
    <row r="1" spans="1:23" ht="15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3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3" ht="15.75" customHeight="1">
      <c r="A3" s="49" t="s">
        <v>209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23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23" ht="19.5" customHeight="1">
      <c r="A5" s="1"/>
      <c r="B5" s="1"/>
      <c r="C5" s="1"/>
      <c r="D5" s="1"/>
      <c r="E5" s="1"/>
      <c r="F5" s="32"/>
      <c r="G5" s="33"/>
      <c r="H5" s="1"/>
      <c r="I5" s="1"/>
      <c r="J5" s="1"/>
      <c r="K5" s="1"/>
      <c r="L5" s="1"/>
      <c r="M5" s="1"/>
      <c r="N5" s="1"/>
      <c r="O5" s="1"/>
      <c r="P5" s="31" t="s">
        <v>1</v>
      </c>
    </row>
    <row r="6" spans="1:23" ht="18.75" customHeight="1">
      <c r="A6" s="36" t="s">
        <v>2</v>
      </c>
      <c r="B6" s="37" t="s">
        <v>3</v>
      </c>
      <c r="C6" s="36" t="s">
        <v>4</v>
      </c>
      <c r="D6" s="36" t="s">
        <v>5</v>
      </c>
      <c r="E6" s="36" t="s">
        <v>212</v>
      </c>
      <c r="F6" s="36" t="s">
        <v>6</v>
      </c>
      <c r="G6" s="36" t="s">
        <v>7</v>
      </c>
      <c r="H6" s="36" t="s">
        <v>8</v>
      </c>
      <c r="I6" s="36" t="s">
        <v>9</v>
      </c>
      <c r="J6" s="36" t="s">
        <v>10</v>
      </c>
      <c r="K6" s="36" t="s">
        <v>11</v>
      </c>
      <c r="L6" s="36" t="s">
        <v>12</v>
      </c>
      <c r="M6" s="36" t="s">
        <v>13</v>
      </c>
      <c r="N6" s="36" t="s">
        <v>14</v>
      </c>
      <c r="O6" s="36" t="s">
        <v>15</v>
      </c>
      <c r="P6" s="36"/>
      <c r="Q6" s="50" t="s">
        <v>16</v>
      </c>
    </row>
    <row r="7" spans="1:23" ht="4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6"/>
      <c r="N7" s="37"/>
      <c r="O7" s="2" t="s">
        <v>17</v>
      </c>
      <c r="P7" s="2" t="s">
        <v>18</v>
      </c>
      <c r="Q7" s="51"/>
    </row>
    <row r="8" spans="1:23" s="13" customFormat="1">
      <c r="A8" s="12">
        <v>1</v>
      </c>
      <c r="B8" s="3">
        <v>2</v>
      </c>
      <c r="C8" s="3">
        <v>3</v>
      </c>
      <c r="D8" s="3">
        <v>4</v>
      </c>
      <c r="E8" s="3"/>
      <c r="F8" s="3"/>
      <c r="G8" s="3"/>
      <c r="H8" s="3"/>
      <c r="I8" s="3"/>
      <c r="J8" s="3"/>
      <c r="K8" s="3"/>
      <c r="L8" s="3"/>
      <c r="M8" s="3"/>
      <c r="N8" s="3">
        <v>5</v>
      </c>
      <c r="O8" s="3">
        <v>6</v>
      </c>
      <c r="P8" s="3">
        <v>7</v>
      </c>
      <c r="Q8" s="3">
        <v>8</v>
      </c>
    </row>
    <row r="9" spans="1:23" s="10" customFormat="1" ht="31.5">
      <c r="A9" s="14" t="s">
        <v>19</v>
      </c>
      <c r="B9" s="15" t="s">
        <v>20</v>
      </c>
      <c r="C9" s="9" t="s">
        <v>21</v>
      </c>
      <c r="D9" s="4">
        <v>95538.505999999994</v>
      </c>
      <c r="E9" s="4">
        <f>D9/12*5</f>
        <v>39807.710833333331</v>
      </c>
      <c r="F9" s="4">
        <f t="shared" ref="F9:L9" si="0">F10+F52+F58+F59+F60</f>
        <v>10216.667000000001</v>
      </c>
      <c r="G9" s="4">
        <f t="shared" si="0"/>
        <v>7797.0649999999996</v>
      </c>
      <c r="H9" s="4">
        <f t="shared" si="0"/>
        <v>5840.5029999999997</v>
      </c>
      <c r="I9" s="4">
        <f t="shared" si="0"/>
        <v>3210.3280000000004</v>
      </c>
      <c r="J9" s="4">
        <f t="shared" si="0"/>
        <v>3503.3579999999997</v>
      </c>
      <c r="K9" s="4">
        <f t="shared" si="0"/>
        <v>3806.712</v>
      </c>
      <c r="L9" s="4">
        <f t="shared" si="0"/>
        <v>2013.9549999999999</v>
      </c>
      <c r="M9" s="4">
        <f>M10+M52+M58+M59+M60</f>
        <v>845.34299999999985</v>
      </c>
      <c r="N9" s="4">
        <f>N10+N52+N58+N59+N60</f>
        <v>37200.688999999998</v>
      </c>
      <c r="O9" s="4">
        <f>N9-E9</f>
        <v>-2607.0218333333323</v>
      </c>
      <c r="P9" s="16">
        <f>N9/E9*100-100</f>
        <v>-6.5490373064866674</v>
      </c>
      <c r="Q9" s="17"/>
      <c r="R9" s="18"/>
    </row>
    <row r="10" spans="1:23" s="10" customFormat="1">
      <c r="A10" s="14">
        <v>1</v>
      </c>
      <c r="B10" s="15" t="s">
        <v>22</v>
      </c>
      <c r="C10" s="9" t="s">
        <v>21</v>
      </c>
      <c r="D10" s="4">
        <v>9211.4619999999995</v>
      </c>
      <c r="E10" s="4">
        <f>D10/12*5</f>
        <v>3838.1091666666662</v>
      </c>
      <c r="F10" s="4">
        <f t="shared" ref="F10:N10" si="1">F11+F12+F13+F40</f>
        <v>2204.413</v>
      </c>
      <c r="G10" s="4">
        <f t="shared" si="1"/>
        <v>1075.586</v>
      </c>
      <c r="H10" s="4">
        <f t="shared" si="1"/>
        <v>908.29200000000003</v>
      </c>
      <c r="I10" s="4">
        <f t="shared" si="1"/>
        <v>161.858</v>
      </c>
      <c r="J10" s="4">
        <f t="shared" si="1"/>
        <v>513.88800000000003</v>
      </c>
      <c r="K10" s="4">
        <f t="shared" si="1"/>
        <v>0</v>
      </c>
      <c r="L10" s="4">
        <f t="shared" si="1"/>
        <v>0</v>
      </c>
      <c r="M10" s="4">
        <f>M11+M12+M13+M40</f>
        <v>218.90199999999999</v>
      </c>
      <c r="N10" s="4">
        <f t="shared" si="1"/>
        <v>5049.6970000000001</v>
      </c>
      <c r="O10" s="4">
        <f t="shared" ref="O10:O73" si="2">N10-E10</f>
        <v>1211.5878333333339</v>
      </c>
      <c r="P10" s="16">
        <f t="shared" ref="P10:P73" si="3">N10/E10*100-100</f>
        <v>31.567310379177627</v>
      </c>
      <c r="Q10" s="17"/>
    </row>
    <row r="11" spans="1:23" ht="31.5">
      <c r="A11" s="19" t="s">
        <v>23</v>
      </c>
      <c r="B11" s="20" t="s">
        <v>24</v>
      </c>
      <c r="C11" s="8" t="s">
        <v>21</v>
      </c>
      <c r="D11" s="5">
        <v>606.86699999999996</v>
      </c>
      <c r="E11" s="5">
        <f t="shared" ref="E11:E75" si="4">D11/12*5</f>
        <v>252.86124999999998</v>
      </c>
      <c r="F11" s="5"/>
      <c r="G11" s="5"/>
      <c r="H11" s="5">
        <v>46.668999999999997</v>
      </c>
      <c r="I11" s="5"/>
      <c r="J11" s="5"/>
      <c r="K11" s="5"/>
      <c r="L11" s="5"/>
      <c r="M11" s="5"/>
      <c r="N11" s="5">
        <f>F11+G11+H11+I11+J11+K11+L11+M11</f>
        <v>46.668999999999997</v>
      </c>
      <c r="O11" s="4">
        <f t="shared" si="2"/>
        <v>-206.19225</v>
      </c>
      <c r="P11" s="16">
        <f t="shared" si="3"/>
        <v>-81.543633118953579</v>
      </c>
      <c r="Q11" s="21" t="s">
        <v>25</v>
      </c>
      <c r="W11" s="22"/>
    </row>
    <row r="12" spans="1:23">
      <c r="A12" s="19" t="s">
        <v>26</v>
      </c>
      <c r="B12" s="20" t="s">
        <v>27</v>
      </c>
      <c r="C12" s="8" t="s">
        <v>21</v>
      </c>
      <c r="D12" s="5">
        <v>197.77</v>
      </c>
      <c r="E12" s="5">
        <f t="shared" si="4"/>
        <v>82.404166666666669</v>
      </c>
      <c r="F12" s="5"/>
      <c r="G12" s="5"/>
      <c r="H12" s="5"/>
      <c r="I12" s="5"/>
      <c r="J12" s="5"/>
      <c r="K12" s="5"/>
      <c r="L12" s="5"/>
      <c r="M12" s="5"/>
      <c r="N12" s="5">
        <f>F12+G12+H12+I12+J12+K12+L12+M12</f>
        <v>0</v>
      </c>
      <c r="O12" s="4">
        <f t="shared" si="2"/>
        <v>-82.404166666666669</v>
      </c>
      <c r="P12" s="16">
        <f t="shared" si="3"/>
        <v>-100</v>
      </c>
      <c r="Q12" s="21" t="s">
        <v>28</v>
      </c>
    </row>
    <row r="13" spans="1:23">
      <c r="A13" s="19" t="s">
        <v>29</v>
      </c>
      <c r="B13" s="20" t="s">
        <v>30</v>
      </c>
      <c r="C13" s="8" t="s">
        <v>21</v>
      </c>
      <c r="D13" s="5">
        <v>3206.5639999999999</v>
      </c>
      <c r="E13" s="5">
        <f t="shared" si="4"/>
        <v>1336.0683333333332</v>
      </c>
      <c r="F13" s="5">
        <f t="shared" ref="F13:N13" si="5">F14</f>
        <v>736.51600000000008</v>
      </c>
      <c r="G13" s="5">
        <f t="shared" si="5"/>
        <v>406.41600000000005</v>
      </c>
      <c r="H13" s="5">
        <f t="shared" si="5"/>
        <v>79.662000000000006</v>
      </c>
      <c r="I13" s="5">
        <f t="shared" si="5"/>
        <v>161.858</v>
      </c>
      <c r="J13" s="5">
        <f t="shared" si="5"/>
        <v>513.88800000000003</v>
      </c>
      <c r="K13" s="5">
        <f t="shared" si="5"/>
        <v>0</v>
      </c>
      <c r="L13" s="5">
        <f t="shared" si="5"/>
        <v>0</v>
      </c>
      <c r="M13" s="5">
        <f t="shared" si="5"/>
        <v>218.90199999999999</v>
      </c>
      <c r="N13" s="5">
        <f t="shared" si="5"/>
        <v>2084</v>
      </c>
      <c r="O13" s="4">
        <f t="shared" si="2"/>
        <v>747.93166666666684</v>
      </c>
      <c r="P13" s="16">
        <f t="shared" si="3"/>
        <v>55.980045930784485</v>
      </c>
      <c r="Q13" s="21"/>
    </row>
    <row r="14" spans="1:23">
      <c r="A14" s="19"/>
      <c r="B14" s="20" t="s">
        <v>31</v>
      </c>
      <c r="C14" s="8" t="s">
        <v>21</v>
      </c>
      <c r="D14" s="5">
        <v>3206.56</v>
      </c>
      <c r="E14" s="5">
        <f t="shared" si="4"/>
        <v>1336.0666666666666</v>
      </c>
      <c r="F14" s="5">
        <f t="shared" ref="F14:M14" si="6">F15+F19+F22+F25+F39</f>
        <v>736.51600000000008</v>
      </c>
      <c r="G14" s="5">
        <f t="shared" si="6"/>
        <v>406.41600000000005</v>
      </c>
      <c r="H14" s="5">
        <f t="shared" si="6"/>
        <v>79.662000000000006</v>
      </c>
      <c r="I14" s="5">
        <f t="shared" si="6"/>
        <v>161.858</v>
      </c>
      <c r="J14" s="5">
        <f t="shared" si="6"/>
        <v>513.88800000000003</v>
      </c>
      <c r="K14" s="5">
        <f t="shared" si="6"/>
        <v>0</v>
      </c>
      <c r="L14" s="5">
        <f t="shared" si="6"/>
        <v>0</v>
      </c>
      <c r="M14" s="5">
        <f t="shared" si="6"/>
        <v>218.90199999999999</v>
      </c>
      <c r="N14" s="5">
        <f t="shared" ref="N14" si="7">N15+N19+N22+N25</f>
        <v>2084</v>
      </c>
      <c r="O14" s="4">
        <f t="shared" si="2"/>
        <v>747.93333333333339</v>
      </c>
      <c r="P14" s="16">
        <f t="shared" si="3"/>
        <v>55.98024050696074</v>
      </c>
      <c r="Q14" s="21"/>
    </row>
    <row r="15" spans="1:23">
      <c r="A15" s="19" t="s">
        <v>32</v>
      </c>
      <c r="B15" s="20" t="s">
        <v>33</v>
      </c>
      <c r="C15" s="8" t="s">
        <v>21</v>
      </c>
      <c r="D15" s="5">
        <v>2001.47</v>
      </c>
      <c r="E15" s="5">
        <f t="shared" si="4"/>
        <v>833.94583333333333</v>
      </c>
      <c r="F15" s="5">
        <f t="shared" ref="F15:N15" si="8">F16+F19</f>
        <v>258.274</v>
      </c>
      <c r="G15" s="5">
        <f t="shared" si="8"/>
        <v>171.482</v>
      </c>
      <c r="H15" s="5">
        <f t="shared" si="8"/>
        <v>79.662000000000006</v>
      </c>
      <c r="I15" s="5">
        <f t="shared" si="8"/>
        <v>161.858</v>
      </c>
      <c r="J15" s="5">
        <f t="shared" si="8"/>
        <v>440.18400000000003</v>
      </c>
      <c r="K15" s="5">
        <f t="shared" si="8"/>
        <v>0</v>
      </c>
      <c r="L15" s="5">
        <f t="shared" si="8"/>
        <v>0</v>
      </c>
      <c r="M15" s="5">
        <f>M16+M19</f>
        <v>218.90199999999999</v>
      </c>
      <c r="N15" s="5">
        <f t="shared" si="8"/>
        <v>1330.3620000000001</v>
      </c>
      <c r="O15" s="4">
        <f t="shared" si="2"/>
        <v>496.41616666666675</v>
      </c>
      <c r="P15" s="16">
        <f t="shared" si="3"/>
        <v>59.526188251635062</v>
      </c>
      <c r="Q15" s="21"/>
    </row>
    <row r="16" spans="1:23">
      <c r="A16" s="19"/>
      <c r="B16" s="20" t="s">
        <v>34</v>
      </c>
      <c r="C16" s="8" t="s">
        <v>21</v>
      </c>
      <c r="D16" s="5">
        <v>1034</v>
      </c>
      <c r="E16" s="5">
        <f t="shared" si="4"/>
        <v>430.83333333333337</v>
      </c>
      <c r="F16" s="5">
        <v>258.274</v>
      </c>
      <c r="G16" s="5">
        <v>171.482</v>
      </c>
      <c r="H16" s="5">
        <v>79.662000000000006</v>
      </c>
      <c r="I16" s="5">
        <v>161.858</v>
      </c>
      <c r="J16" s="5">
        <v>440.18400000000003</v>
      </c>
      <c r="K16" s="5"/>
      <c r="L16" s="5"/>
      <c r="M16" s="5">
        <v>218.90199999999999</v>
      </c>
      <c r="N16" s="5">
        <f>F16+G16+H16+I16+J16+K16+L16+M16</f>
        <v>1330.3620000000001</v>
      </c>
      <c r="O16" s="4">
        <f t="shared" si="2"/>
        <v>899.52866666666671</v>
      </c>
      <c r="P16" s="16">
        <f t="shared" si="3"/>
        <v>208.78808510638299</v>
      </c>
      <c r="Q16" s="21"/>
    </row>
    <row r="17" spans="1:17" hidden="1">
      <c r="A17" s="19"/>
      <c r="B17" s="23" t="s">
        <v>35</v>
      </c>
      <c r="C17" s="8" t="s">
        <v>36</v>
      </c>
      <c r="D17" s="5">
        <v>9000</v>
      </c>
      <c r="E17" s="5">
        <f t="shared" si="4"/>
        <v>3750</v>
      </c>
      <c r="F17" s="5"/>
      <c r="G17" s="5"/>
      <c r="H17" s="5"/>
      <c r="I17" s="5"/>
      <c r="J17" s="5"/>
      <c r="K17" s="5"/>
      <c r="L17" s="5"/>
      <c r="M17" s="5"/>
      <c r="N17" s="5">
        <f t="shared" ref="N17:N24" si="9">F17+G17+H17+I17+J17+K17+L17</f>
        <v>0</v>
      </c>
      <c r="O17" s="4">
        <f t="shared" si="2"/>
        <v>-3750</v>
      </c>
      <c r="P17" s="16">
        <f t="shared" si="3"/>
        <v>-100</v>
      </c>
      <c r="Q17" s="21"/>
    </row>
    <row r="18" spans="1:17" hidden="1">
      <c r="A18" s="19"/>
      <c r="B18" s="23" t="s">
        <v>37</v>
      </c>
      <c r="C18" s="8" t="s">
        <v>38</v>
      </c>
      <c r="D18" s="5">
        <v>114.85</v>
      </c>
      <c r="E18" s="5">
        <f t="shared" si="4"/>
        <v>47.854166666666664</v>
      </c>
      <c r="F18" s="5"/>
      <c r="G18" s="5"/>
      <c r="H18" s="5"/>
      <c r="I18" s="5"/>
      <c r="J18" s="5"/>
      <c r="K18" s="5"/>
      <c r="L18" s="5"/>
      <c r="M18" s="5"/>
      <c r="N18" s="5">
        <f t="shared" si="9"/>
        <v>0</v>
      </c>
      <c r="O18" s="4">
        <f t="shared" si="2"/>
        <v>-47.854166666666664</v>
      </c>
      <c r="P18" s="16">
        <f t="shared" si="3"/>
        <v>-100</v>
      </c>
      <c r="Q18" s="21"/>
    </row>
    <row r="19" spans="1:17">
      <c r="A19" s="19"/>
      <c r="B19" s="20" t="s">
        <v>39</v>
      </c>
      <c r="C19" s="8" t="s">
        <v>21</v>
      </c>
      <c r="D19" s="5">
        <v>967.82</v>
      </c>
      <c r="E19" s="5">
        <f t="shared" si="4"/>
        <v>403.25833333333333</v>
      </c>
      <c r="F19" s="5"/>
      <c r="G19" s="5"/>
      <c r="H19" s="5"/>
      <c r="I19" s="5"/>
      <c r="J19" s="5"/>
      <c r="K19" s="5"/>
      <c r="L19" s="5"/>
      <c r="M19" s="5"/>
      <c r="N19" s="5">
        <f>F19+G19+H19+I19+J19+K19+L19+M19</f>
        <v>0</v>
      </c>
      <c r="O19" s="4">
        <f t="shared" si="2"/>
        <v>-403.25833333333333</v>
      </c>
      <c r="P19" s="16">
        <f t="shared" si="3"/>
        <v>-100</v>
      </c>
      <c r="Q19" s="21"/>
    </row>
    <row r="20" spans="1:17" hidden="1">
      <c r="A20" s="19"/>
      <c r="B20" s="23" t="s">
        <v>35</v>
      </c>
      <c r="C20" s="8" t="s">
        <v>36</v>
      </c>
      <c r="D20" s="5">
        <v>12180</v>
      </c>
      <c r="E20" s="5">
        <f t="shared" si="4"/>
        <v>5075</v>
      </c>
      <c r="F20" s="5"/>
      <c r="G20" s="5"/>
      <c r="H20" s="5"/>
      <c r="I20" s="5"/>
      <c r="J20" s="5"/>
      <c r="K20" s="5"/>
      <c r="L20" s="5"/>
      <c r="M20" s="5"/>
      <c r="N20" s="5">
        <f t="shared" si="9"/>
        <v>0</v>
      </c>
      <c r="O20" s="4">
        <f t="shared" si="2"/>
        <v>-5075</v>
      </c>
      <c r="P20" s="16">
        <f t="shared" si="3"/>
        <v>-100</v>
      </c>
      <c r="Q20" s="21"/>
    </row>
    <row r="21" spans="1:17" hidden="1">
      <c r="A21" s="19"/>
      <c r="B21" s="23" t="s">
        <v>37</v>
      </c>
      <c r="C21" s="8" t="s">
        <v>38</v>
      </c>
      <c r="D21" s="5">
        <v>79.459999999999994</v>
      </c>
      <c r="E21" s="5">
        <f t="shared" si="4"/>
        <v>33.108333333333334</v>
      </c>
      <c r="F21" s="5"/>
      <c r="G21" s="5"/>
      <c r="H21" s="5"/>
      <c r="I21" s="5"/>
      <c r="J21" s="5"/>
      <c r="K21" s="5"/>
      <c r="L21" s="5"/>
      <c r="M21" s="5"/>
      <c r="N21" s="5">
        <f t="shared" si="9"/>
        <v>0</v>
      </c>
      <c r="O21" s="4">
        <f t="shared" si="2"/>
        <v>-33.108333333333334</v>
      </c>
      <c r="P21" s="16">
        <f t="shared" si="3"/>
        <v>-100</v>
      </c>
      <c r="Q21" s="21"/>
    </row>
    <row r="22" spans="1:17">
      <c r="A22" s="19" t="s">
        <v>40</v>
      </c>
      <c r="B22" s="20" t="s">
        <v>41</v>
      </c>
      <c r="C22" s="8" t="s">
        <v>21</v>
      </c>
      <c r="D22" s="5">
        <v>1030.6300000000001</v>
      </c>
      <c r="E22" s="5">
        <f t="shared" si="4"/>
        <v>429.42916666666667</v>
      </c>
      <c r="F22" s="5">
        <f>321.764+156.478</f>
        <v>478.24200000000002</v>
      </c>
      <c r="G22" s="5">
        <f>193.639+41.295</f>
        <v>234.93400000000003</v>
      </c>
      <c r="H22" s="5"/>
      <c r="I22" s="5"/>
      <c r="J22" s="5">
        <v>40.462000000000003</v>
      </c>
      <c r="K22" s="5"/>
      <c r="L22" s="5"/>
      <c r="M22" s="5"/>
      <c r="N22" s="5">
        <f>F22+G22+H22+I22+J22+K22+L22+M22</f>
        <v>753.63800000000003</v>
      </c>
      <c r="O22" s="4">
        <f t="shared" si="2"/>
        <v>324.20883333333336</v>
      </c>
      <c r="P22" s="16">
        <f t="shared" si="3"/>
        <v>75.497627664632319</v>
      </c>
      <c r="Q22" s="21"/>
    </row>
    <row r="23" spans="1:17" hidden="1">
      <c r="A23" s="19"/>
      <c r="B23" s="23" t="s">
        <v>35</v>
      </c>
      <c r="C23" s="8" t="s">
        <v>36</v>
      </c>
      <c r="D23" s="5">
        <v>9790</v>
      </c>
      <c r="E23" s="5">
        <f t="shared" si="4"/>
        <v>4079.166666666667</v>
      </c>
      <c r="F23" s="5"/>
      <c r="G23" s="5"/>
      <c r="H23" s="5"/>
      <c r="I23" s="5"/>
      <c r="J23" s="5"/>
      <c r="K23" s="5"/>
      <c r="L23" s="5"/>
      <c r="M23" s="5"/>
      <c r="N23" s="5">
        <f t="shared" si="9"/>
        <v>0</v>
      </c>
      <c r="O23" s="4">
        <f t="shared" si="2"/>
        <v>-4079.166666666667</v>
      </c>
      <c r="P23" s="16">
        <f t="shared" si="3"/>
        <v>-100</v>
      </c>
      <c r="Q23" s="21"/>
    </row>
    <row r="24" spans="1:17" hidden="1">
      <c r="A24" s="19"/>
      <c r="B24" s="23" t="s">
        <v>37</v>
      </c>
      <c r="C24" s="8" t="s">
        <v>38</v>
      </c>
      <c r="D24" s="5">
        <v>105.27</v>
      </c>
      <c r="E24" s="5">
        <f t="shared" si="4"/>
        <v>43.862499999999997</v>
      </c>
      <c r="F24" s="5"/>
      <c r="G24" s="5"/>
      <c r="H24" s="5"/>
      <c r="I24" s="5"/>
      <c r="J24" s="5"/>
      <c r="K24" s="5"/>
      <c r="L24" s="5"/>
      <c r="M24" s="5"/>
      <c r="N24" s="5">
        <f t="shared" si="9"/>
        <v>0</v>
      </c>
      <c r="O24" s="4">
        <f t="shared" si="2"/>
        <v>-43.862499999999997</v>
      </c>
      <c r="P24" s="16">
        <f t="shared" si="3"/>
        <v>-100</v>
      </c>
      <c r="Q24" s="21"/>
    </row>
    <row r="25" spans="1:17">
      <c r="A25" s="19" t="s">
        <v>42</v>
      </c>
      <c r="B25" s="20" t="s">
        <v>43</v>
      </c>
      <c r="C25" s="8" t="s">
        <v>21</v>
      </c>
      <c r="D25" s="5">
        <v>174.46299999999999</v>
      </c>
      <c r="E25" s="5">
        <f t="shared" si="4"/>
        <v>72.692916666666662</v>
      </c>
      <c r="F25" s="5">
        <f t="shared" ref="F25:L25" si="10">F27+F30+F33+F36</f>
        <v>0</v>
      </c>
      <c r="G25" s="5">
        <f t="shared" si="10"/>
        <v>0</v>
      </c>
      <c r="H25" s="5">
        <f>H27+H30+H33+H36</f>
        <v>0</v>
      </c>
      <c r="I25" s="5">
        <f>I27+I30+I33+I36</f>
        <v>0</v>
      </c>
      <c r="J25" s="5">
        <f t="shared" si="10"/>
        <v>0</v>
      </c>
      <c r="K25" s="5">
        <f t="shared" si="10"/>
        <v>0</v>
      </c>
      <c r="L25" s="5">
        <f t="shared" si="10"/>
        <v>0</v>
      </c>
      <c r="M25" s="5">
        <f>M27+M30+M33+M36</f>
        <v>0</v>
      </c>
      <c r="N25" s="5">
        <f>F25+G25+H25+I25+J25+K25+L25+M25</f>
        <v>0</v>
      </c>
      <c r="O25" s="4">
        <f t="shared" si="2"/>
        <v>-72.692916666666662</v>
      </c>
      <c r="P25" s="16">
        <f t="shared" si="3"/>
        <v>-100</v>
      </c>
      <c r="Q25" s="21"/>
    </row>
    <row r="26" spans="1:17" hidden="1">
      <c r="A26" s="19"/>
      <c r="B26" s="23" t="s">
        <v>35</v>
      </c>
      <c r="C26" s="8" t="s">
        <v>36</v>
      </c>
      <c r="D26" s="5">
        <v>256.89999999999998</v>
      </c>
      <c r="E26" s="5">
        <f t="shared" si="4"/>
        <v>107.04166666666666</v>
      </c>
      <c r="F26" s="5"/>
      <c r="G26" s="5"/>
      <c r="H26" s="5"/>
      <c r="I26" s="5"/>
      <c r="J26" s="5"/>
      <c r="K26" s="5"/>
      <c r="L26" s="5"/>
      <c r="M26" s="5"/>
      <c r="N26" s="5">
        <f t="shared" ref="N26:N38" si="11">F26+G26+H26+I26+J26+K26+L26</f>
        <v>0</v>
      </c>
      <c r="O26" s="4">
        <f t="shared" si="2"/>
        <v>-107.04166666666666</v>
      </c>
      <c r="P26" s="16">
        <f t="shared" si="3"/>
        <v>-100</v>
      </c>
      <c r="Q26" s="21"/>
    </row>
    <row r="27" spans="1:17">
      <c r="A27" s="19"/>
      <c r="B27" s="20" t="s">
        <v>44</v>
      </c>
      <c r="C27" s="8" t="s">
        <v>21</v>
      </c>
      <c r="D27" s="5">
        <v>128.22</v>
      </c>
      <c r="E27" s="5">
        <f t="shared" si="4"/>
        <v>53.425000000000004</v>
      </c>
      <c r="F27" s="5"/>
      <c r="G27" s="5"/>
      <c r="H27" s="5"/>
      <c r="I27" s="5"/>
      <c r="J27" s="5"/>
      <c r="K27" s="5"/>
      <c r="L27" s="5"/>
      <c r="M27" s="5"/>
      <c r="N27" s="5">
        <f>F27+G27+H27+I27+J27+K27+L27+M27</f>
        <v>0</v>
      </c>
      <c r="O27" s="4">
        <f t="shared" si="2"/>
        <v>-53.425000000000004</v>
      </c>
      <c r="P27" s="16">
        <f t="shared" si="3"/>
        <v>-100</v>
      </c>
      <c r="Q27" s="21"/>
    </row>
    <row r="28" spans="1:17" hidden="1">
      <c r="A28" s="19"/>
      <c r="B28" s="23" t="s">
        <v>35</v>
      </c>
      <c r="C28" s="8" t="s">
        <v>36</v>
      </c>
      <c r="D28" s="5">
        <v>179.5</v>
      </c>
      <c r="E28" s="5">
        <f t="shared" si="4"/>
        <v>74.791666666666671</v>
      </c>
      <c r="F28" s="5"/>
      <c r="G28" s="5"/>
      <c r="H28" s="5"/>
      <c r="I28" s="5"/>
      <c r="J28" s="5"/>
      <c r="K28" s="5"/>
      <c r="L28" s="5"/>
      <c r="M28" s="5"/>
      <c r="N28" s="5">
        <f t="shared" si="11"/>
        <v>0</v>
      </c>
      <c r="O28" s="4">
        <f t="shared" si="2"/>
        <v>-74.791666666666671</v>
      </c>
      <c r="P28" s="16">
        <f t="shared" si="3"/>
        <v>-100</v>
      </c>
      <c r="Q28" s="21"/>
    </row>
    <row r="29" spans="1:17" hidden="1">
      <c r="A29" s="19"/>
      <c r="B29" s="23" t="s">
        <v>37</v>
      </c>
      <c r="C29" s="8" t="s">
        <v>38</v>
      </c>
      <c r="D29" s="5">
        <v>714.3</v>
      </c>
      <c r="E29" s="5">
        <f t="shared" si="4"/>
        <v>297.625</v>
      </c>
      <c r="F29" s="5"/>
      <c r="G29" s="5"/>
      <c r="H29" s="5"/>
      <c r="I29" s="5"/>
      <c r="J29" s="5"/>
      <c r="K29" s="5"/>
      <c r="L29" s="5"/>
      <c r="M29" s="5"/>
      <c r="N29" s="5">
        <f t="shared" si="11"/>
        <v>0</v>
      </c>
      <c r="O29" s="4">
        <f t="shared" si="2"/>
        <v>-297.625</v>
      </c>
      <c r="P29" s="16">
        <f t="shared" si="3"/>
        <v>-100</v>
      </c>
      <c r="Q29" s="21"/>
    </row>
    <row r="30" spans="1:17">
      <c r="A30" s="19"/>
      <c r="B30" s="20" t="s">
        <v>45</v>
      </c>
      <c r="C30" s="8" t="s">
        <v>21</v>
      </c>
      <c r="D30" s="5">
        <v>34.770000000000003</v>
      </c>
      <c r="E30" s="5">
        <f t="shared" si="4"/>
        <v>14.487500000000002</v>
      </c>
      <c r="F30" s="5"/>
      <c r="G30" s="5"/>
      <c r="H30" s="5"/>
      <c r="I30" s="5"/>
      <c r="J30" s="5"/>
      <c r="K30" s="5"/>
      <c r="L30" s="5"/>
      <c r="M30" s="5"/>
      <c r="N30" s="5">
        <f>F30+G30+H30+I30+J30+K30+L30+M30</f>
        <v>0</v>
      </c>
      <c r="O30" s="4">
        <f t="shared" si="2"/>
        <v>-14.487500000000002</v>
      </c>
      <c r="P30" s="16">
        <f t="shared" si="3"/>
        <v>-100</v>
      </c>
      <c r="Q30" s="21"/>
    </row>
    <row r="31" spans="1:17" hidden="1">
      <c r="A31" s="19"/>
      <c r="B31" s="23" t="s">
        <v>35</v>
      </c>
      <c r="C31" s="8" t="s">
        <v>36</v>
      </c>
      <c r="D31" s="5">
        <v>64.900000000000006</v>
      </c>
      <c r="E31" s="5">
        <f t="shared" si="4"/>
        <v>27.041666666666671</v>
      </c>
      <c r="F31" s="5"/>
      <c r="G31" s="5"/>
      <c r="H31" s="5"/>
      <c r="I31" s="5"/>
      <c r="J31" s="5"/>
      <c r="K31" s="5"/>
      <c r="L31" s="5"/>
      <c r="M31" s="5"/>
      <c r="N31" s="5">
        <f t="shared" si="11"/>
        <v>0</v>
      </c>
      <c r="O31" s="4">
        <f t="shared" si="2"/>
        <v>-27.041666666666671</v>
      </c>
      <c r="P31" s="16">
        <f t="shared" si="3"/>
        <v>-100</v>
      </c>
      <c r="Q31" s="21"/>
    </row>
    <row r="32" spans="1:17" hidden="1">
      <c r="A32" s="19"/>
      <c r="B32" s="23" t="s">
        <v>37</v>
      </c>
      <c r="C32" s="8" t="s">
        <v>38</v>
      </c>
      <c r="D32" s="5">
        <v>535.79999999999995</v>
      </c>
      <c r="E32" s="5">
        <f t="shared" si="4"/>
        <v>223.25</v>
      </c>
      <c r="F32" s="5"/>
      <c r="G32" s="5"/>
      <c r="H32" s="5"/>
      <c r="I32" s="5"/>
      <c r="J32" s="5"/>
      <c r="K32" s="5"/>
      <c r="L32" s="5"/>
      <c r="M32" s="5"/>
      <c r="N32" s="5">
        <f t="shared" si="11"/>
        <v>0</v>
      </c>
      <c r="O32" s="4">
        <f t="shared" si="2"/>
        <v>-223.25</v>
      </c>
      <c r="P32" s="16">
        <f t="shared" si="3"/>
        <v>-100</v>
      </c>
      <c r="Q32" s="21"/>
    </row>
    <row r="33" spans="1:17">
      <c r="A33" s="19"/>
      <c r="B33" s="20" t="s">
        <v>46</v>
      </c>
      <c r="C33" s="8" t="s">
        <v>21</v>
      </c>
      <c r="D33" s="5">
        <v>11.006</v>
      </c>
      <c r="E33" s="5">
        <f t="shared" si="4"/>
        <v>4.5858333333333334</v>
      </c>
      <c r="F33" s="5"/>
      <c r="G33" s="5"/>
      <c r="H33" s="5"/>
      <c r="I33" s="5"/>
      <c r="J33" s="5"/>
      <c r="K33" s="5"/>
      <c r="L33" s="5"/>
      <c r="M33" s="5"/>
      <c r="N33" s="5">
        <f t="shared" si="11"/>
        <v>0</v>
      </c>
      <c r="O33" s="4">
        <f t="shared" si="2"/>
        <v>-4.5858333333333334</v>
      </c>
      <c r="P33" s="16">
        <f t="shared" si="3"/>
        <v>-100</v>
      </c>
      <c r="Q33" s="21"/>
    </row>
    <row r="34" spans="1:17" hidden="1">
      <c r="A34" s="19"/>
      <c r="B34" s="23" t="s">
        <v>35</v>
      </c>
      <c r="C34" s="8" t="s">
        <v>36</v>
      </c>
      <c r="D34" s="5">
        <v>11.5</v>
      </c>
      <c r="E34" s="5">
        <f t="shared" si="4"/>
        <v>4.791666666666667</v>
      </c>
      <c r="F34" s="5"/>
      <c r="G34" s="5"/>
      <c r="H34" s="5"/>
      <c r="I34" s="5"/>
      <c r="J34" s="5"/>
      <c r="K34" s="5"/>
      <c r="L34" s="5"/>
      <c r="M34" s="5"/>
      <c r="N34" s="5">
        <f t="shared" si="11"/>
        <v>0</v>
      </c>
      <c r="O34" s="4">
        <f t="shared" si="2"/>
        <v>-4.791666666666667</v>
      </c>
      <c r="P34" s="16">
        <f t="shared" si="3"/>
        <v>-100</v>
      </c>
      <c r="Q34" s="21"/>
    </row>
    <row r="35" spans="1:17" hidden="1">
      <c r="A35" s="19"/>
      <c r="B35" s="23" t="s">
        <v>37</v>
      </c>
      <c r="C35" s="8" t="s">
        <v>38</v>
      </c>
      <c r="D35" s="5">
        <v>957.1</v>
      </c>
      <c r="E35" s="5">
        <f t="shared" si="4"/>
        <v>398.79166666666669</v>
      </c>
      <c r="F35" s="5"/>
      <c r="G35" s="5"/>
      <c r="H35" s="5"/>
      <c r="I35" s="5"/>
      <c r="J35" s="5"/>
      <c r="K35" s="5"/>
      <c r="L35" s="5"/>
      <c r="M35" s="5"/>
      <c r="N35" s="5">
        <f t="shared" si="11"/>
        <v>0</v>
      </c>
      <c r="O35" s="4">
        <f t="shared" si="2"/>
        <v>-398.79166666666669</v>
      </c>
      <c r="P35" s="16">
        <f t="shared" si="3"/>
        <v>-100</v>
      </c>
      <c r="Q35" s="21"/>
    </row>
    <row r="36" spans="1:17">
      <c r="A36" s="19"/>
      <c r="B36" s="20" t="s">
        <v>47</v>
      </c>
      <c r="C36" s="8" t="s">
        <v>21</v>
      </c>
      <c r="D36" s="5">
        <v>0.5</v>
      </c>
      <c r="E36" s="5">
        <f t="shared" si="4"/>
        <v>0.20833333333333331</v>
      </c>
      <c r="F36" s="5"/>
      <c r="G36" s="5"/>
      <c r="H36" s="5"/>
      <c r="I36" s="5"/>
      <c r="J36" s="5"/>
      <c r="K36" s="5"/>
      <c r="L36" s="5"/>
      <c r="M36" s="5"/>
      <c r="N36" s="5">
        <f>F36+G36+H36+I36+J36+K36+L36+M36</f>
        <v>0</v>
      </c>
      <c r="O36" s="4">
        <f t="shared" si="2"/>
        <v>-0.20833333333333331</v>
      </c>
      <c r="P36" s="16">
        <f t="shared" si="3"/>
        <v>-100</v>
      </c>
      <c r="Q36" s="21"/>
    </row>
    <row r="37" spans="1:17" hidden="1">
      <c r="A37" s="19"/>
      <c r="B37" s="23" t="s">
        <v>35</v>
      </c>
      <c r="C37" s="8" t="s">
        <v>36</v>
      </c>
      <c r="D37" s="5">
        <v>1</v>
      </c>
      <c r="E37" s="5">
        <f t="shared" si="4"/>
        <v>0.41666666666666663</v>
      </c>
      <c r="F37" s="5"/>
      <c r="G37" s="5"/>
      <c r="H37" s="5"/>
      <c r="I37" s="5"/>
      <c r="J37" s="5"/>
      <c r="K37" s="5"/>
      <c r="L37" s="5"/>
      <c r="M37" s="5"/>
      <c r="N37" s="5">
        <f t="shared" si="11"/>
        <v>0</v>
      </c>
      <c r="O37" s="4">
        <f t="shared" si="2"/>
        <v>-0.41666666666666663</v>
      </c>
      <c r="P37" s="16">
        <f t="shared" si="3"/>
        <v>-100</v>
      </c>
      <c r="Q37" s="21"/>
    </row>
    <row r="38" spans="1:17" hidden="1">
      <c r="A38" s="19"/>
      <c r="B38" s="23" t="s">
        <v>37</v>
      </c>
      <c r="C38" s="8" t="s">
        <v>38</v>
      </c>
      <c r="D38" s="5">
        <v>468.25</v>
      </c>
      <c r="E38" s="5">
        <f t="shared" si="4"/>
        <v>195.10416666666669</v>
      </c>
      <c r="F38" s="5"/>
      <c r="G38" s="5"/>
      <c r="H38" s="5"/>
      <c r="I38" s="5"/>
      <c r="J38" s="5"/>
      <c r="K38" s="5"/>
      <c r="L38" s="5"/>
      <c r="M38" s="5"/>
      <c r="N38" s="5">
        <f t="shared" si="11"/>
        <v>0</v>
      </c>
      <c r="O38" s="4">
        <f t="shared" si="2"/>
        <v>-195.10416666666669</v>
      </c>
      <c r="P38" s="16">
        <f t="shared" si="3"/>
        <v>-100</v>
      </c>
      <c r="Q38" s="21"/>
    </row>
    <row r="39" spans="1:17">
      <c r="A39" s="19"/>
      <c r="B39" s="20" t="s">
        <v>213</v>
      </c>
      <c r="C39" s="8" t="s">
        <v>21</v>
      </c>
      <c r="D39" s="5">
        <v>0</v>
      </c>
      <c r="E39" s="5">
        <f t="shared" si="4"/>
        <v>0</v>
      </c>
      <c r="F39" s="5"/>
      <c r="G39" s="5"/>
      <c r="H39" s="5"/>
      <c r="I39" s="5"/>
      <c r="J39" s="5">
        <v>33.241999999999997</v>
      </c>
      <c r="K39" s="5"/>
      <c r="L39" s="5"/>
      <c r="M39" s="5"/>
      <c r="N39" s="5">
        <f>F39+G39+H39+I39+J39+K39+L39+M39</f>
        <v>33.241999999999997</v>
      </c>
      <c r="O39" s="4">
        <f t="shared" si="2"/>
        <v>33.241999999999997</v>
      </c>
      <c r="P39" s="16" t="e">
        <f t="shared" si="3"/>
        <v>#DIV/0!</v>
      </c>
      <c r="Q39" s="21"/>
    </row>
    <row r="40" spans="1:17">
      <c r="A40" s="19" t="s">
        <v>48</v>
      </c>
      <c r="B40" s="20" t="s">
        <v>49</v>
      </c>
      <c r="C40" s="8" t="s">
        <v>21</v>
      </c>
      <c r="D40" s="4">
        <f>D43+D46+D49</f>
        <v>5200.26</v>
      </c>
      <c r="E40" s="4">
        <f t="shared" si="4"/>
        <v>2166.7750000000001</v>
      </c>
      <c r="F40" s="5">
        <f t="shared" ref="F40:N40" si="12">F43+F46+F49</f>
        <v>1467.8969999999999</v>
      </c>
      <c r="G40" s="5">
        <f t="shared" si="12"/>
        <v>669.17</v>
      </c>
      <c r="H40" s="5">
        <f t="shared" si="12"/>
        <v>781.96100000000001</v>
      </c>
      <c r="I40" s="5">
        <f t="shared" si="12"/>
        <v>0</v>
      </c>
      <c r="J40" s="5">
        <f t="shared" si="12"/>
        <v>0</v>
      </c>
      <c r="K40" s="5">
        <f t="shared" si="12"/>
        <v>0</v>
      </c>
      <c r="L40" s="5">
        <f t="shared" si="12"/>
        <v>0</v>
      </c>
      <c r="M40" s="5">
        <f t="shared" si="12"/>
        <v>0</v>
      </c>
      <c r="N40" s="4">
        <f t="shared" si="12"/>
        <v>2919.0280000000002</v>
      </c>
      <c r="O40" s="4">
        <f t="shared" si="2"/>
        <v>752.25300000000016</v>
      </c>
      <c r="P40" s="16">
        <f t="shared" si="3"/>
        <v>34.717633349101789</v>
      </c>
      <c r="Q40" s="21" t="s">
        <v>50</v>
      </c>
    </row>
    <row r="41" spans="1:17" hidden="1">
      <c r="A41" s="19"/>
      <c r="B41" s="23" t="s">
        <v>35</v>
      </c>
      <c r="C41" s="8" t="s">
        <v>51</v>
      </c>
      <c r="D41" s="6">
        <f>D44+D47+D50</f>
        <v>272593</v>
      </c>
      <c r="E41" s="5">
        <f t="shared" si="4"/>
        <v>113580.41666666666</v>
      </c>
      <c r="F41" s="5"/>
      <c r="G41" s="5"/>
      <c r="H41" s="5"/>
      <c r="I41" s="5"/>
      <c r="J41" s="5"/>
      <c r="K41" s="5"/>
      <c r="L41" s="5"/>
      <c r="M41" s="5"/>
      <c r="N41" s="6">
        <f>N44+N47+N50</f>
        <v>0</v>
      </c>
      <c r="O41" s="4">
        <f t="shared" si="2"/>
        <v>-113580.41666666666</v>
      </c>
      <c r="P41" s="16">
        <f t="shared" si="3"/>
        <v>-100</v>
      </c>
      <c r="Q41" s="21"/>
    </row>
    <row r="42" spans="1:17" hidden="1">
      <c r="A42" s="19"/>
      <c r="B42" s="23" t="s">
        <v>37</v>
      </c>
      <c r="C42" s="12" t="s">
        <v>52</v>
      </c>
      <c r="D42" s="24">
        <v>19.100000000000001</v>
      </c>
      <c r="E42" s="5">
        <f t="shared" si="4"/>
        <v>7.9583333333333339</v>
      </c>
      <c r="F42" s="5"/>
      <c r="G42" s="5"/>
      <c r="H42" s="5"/>
      <c r="I42" s="5"/>
      <c r="J42" s="5"/>
      <c r="K42" s="5"/>
      <c r="L42" s="5"/>
      <c r="M42" s="5"/>
      <c r="N42" s="5"/>
      <c r="O42" s="4">
        <f t="shared" si="2"/>
        <v>-7.9583333333333339</v>
      </c>
      <c r="P42" s="16">
        <f t="shared" si="3"/>
        <v>-100</v>
      </c>
      <c r="Q42" s="21"/>
    </row>
    <row r="43" spans="1:17" ht="47.25">
      <c r="A43" s="19"/>
      <c r="B43" s="25" t="s">
        <v>53</v>
      </c>
      <c r="C43" s="8" t="s">
        <v>21</v>
      </c>
      <c r="D43" s="5">
        <v>1653.78</v>
      </c>
      <c r="E43" s="5">
        <f t="shared" si="4"/>
        <v>689.07500000000005</v>
      </c>
      <c r="F43" s="5">
        <v>1467.8969999999999</v>
      </c>
      <c r="G43" s="5"/>
      <c r="H43" s="5"/>
      <c r="I43" s="5"/>
      <c r="J43" s="5"/>
      <c r="K43" s="5"/>
      <c r="L43" s="5"/>
      <c r="M43" s="5"/>
      <c r="N43" s="5">
        <f>F43+G43+H43+I43+J43+K43+L43+M43</f>
        <v>1467.8969999999999</v>
      </c>
      <c r="O43" s="4">
        <f t="shared" si="2"/>
        <v>778.82199999999989</v>
      </c>
      <c r="P43" s="16">
        <f t="shared" si="3"/>
        <v>113.02427166854113</v>
      </c>
      <c r="Q43" s="21"/>
    </row>
    <row r="44" spans="1:17" hidden="1">
      <c r="A44" s="19"/>
      <c r="B44" s="23" t="s">
        <v>35</v>
      </c>
      <c r="C44" s="8" t="s">
        <v>51</v>
      </c>
      <c r="D44" s="6">
        <v>87967</v>
      </c>
      <c r="E44" s="5">
        <f t="shared" si="4"/>
        <v>36652.916666666664</v>
      </c>
      <c r="F44" s="6"/>
      <c r="G44" s="6"/>
      <c r="H44" s="6"/>
      <c r="I44" s="6"/>
      <c r="J44" s="6"/>
      <c r="K44" s="6"/>
      <c r="L44" s="6"/>
      <c r="M44" s="6"/>
      <c r="N44" s="6"/>
      <c r="O44" s="4">
        <f t="shared" si="2"/>
        <v>-36652.916666666664</v>
      </c>
      <c r="P44" s="16">
        <f t="shared" si="3"/>
        <v>-100</v>
      </c>
      <c r="Q44" s="21"/>
    </row>
    <row r="45" spans="1:17" hidden="1">
      <c r="A45" s="19"/>
      <c r="B45" s="23" t="s">
        <v>37</v>
      </c>
      <c r="C45" s="8" t="s">
        <v>38</v>
      </c>
      <c r="D45" s="5">
        <v>18.8</v>
      </c>
      <c r="E45" s="5">
        <f t="shared" si="4"/>
        <v>7.833333333333333</v>
      </c>
      <c r="F45" s="5"/>
      <c r="G45" s="5"/>
      <c r="H45" s="5"/>
      <c r="I45" s="5"/>
      <c r="J45" s="5"/>
      <c r="K45" s="5"/>
      <c r="L45" s="5"/>
      <c r="M45" s="5"/>
      <c r="N45" s="5"/>
      <c r="O45" s="4">
        <f t="shared" si="2"/>
        <v>-7.833333333333333</v>
      </c>
      <c r="P45" s="16">
        <f t="shared" si="3"/>
        <v>-100</v>
      </c>
      <c r="Q45" s="21"/>
    </row>
    <row r="46" spans="1:17" ht="31.5">
      <c r="A46" s="19"/>
      <c r="B46" s="20" t="s">
        <v>54</v>
      </c>
      <c r="C46" s="8" t="s">
        <v>21</v>
      </c>
      <c r="D46" s="5">
        <v>1578.07</v>
      </c>
      <c r="E46" s="5">
        <f t="shared" si="4"/>
        <v>657.5291666666667</v>
      </c>
      <c r="F46" s="5"/>
      <c r="G46" s="5"/>
      <c r="H46" s="5">
        <v>781.96100000000001</v>
      </c>
      <c r="I46" s="5"/>
      <c r="J46" s="5"/>
      <c r="K46" s="5"/>
      <c r="L46" s="5"/>
      <c r="M46" s="5"/>
      <c r="N46" s="5">
        <f>F46+G46+H46+I46+J46+K46+L46+M46</f>
        <v>781.96100000000001</v>
      </c>
      <c r="O46" s="4">
        <f t="shared" si="2"/>
        <v>124.43183333333332</v>
      </c>
      <c r="P46" s="16">
        <f t="shared" si="3"/>
        <v>18.924154188343991</v>
      </c>
      <c r="Q46" s="21"/>
    </row>
    <row r="47" spans="1:17" hidden="1">
      <c r="A47" s="19"/>
      <c r="B47" s="23" t="s">
        <v>35</v>
      </c>
      <c r="C47" s="8" t="s">
        <v>51</v>
      </c>
      <c r="D47" s="6">
        <v>83940</v>
      </c>
      <c r="E47" s="5">
        <f t="shared" si="4"/>
        <v>34975</v>
      </c>
      <c r="F47" s="6"/>
      <c r="G47" s="6"/>
      <c r="H47" s="6"/>
      <c r="I47" s="6"/>
      <c r="J47" s="6"/>
      <c r="K47" s="6"/>
      <c r="L47" s="6"/>
      <c r="M47" s="6"/>
      <c r="N47" s="6"/>
      <c r="O47" s="4">
        <f t="shared" si="2"/>
        <v>-34975</v>
      </c>
      <c r="P47" s="16">
        <f t="shared" si="3"/>
        <v>-100</v>
      </c>
      <c r="Q47" s="21"/>
    </row>
    <row r="48" spans="1:17" hidden="1">
      <c r="A48" s="19"/>
      <c r="B48" s="23" t="s">
        <v>37</v>
      </c>
      <c r="C48" s="8" t="s">
        <v>38</v>
      </c>
      <c r="D48" s="5">
        <v>18.8</v>
      </c>
      <c r="E48" s="5">
        <f t="shared" si="4"/>
        <v>7.833333333333333</v>
      </c>
      <c r="F48" s="5"/>
      <c r="G48" s="5"/>
      <c r="H48" s="5"/>
      <c r="I48" s="5"/>
      <c r="J48" s="5"/>
      <c r="K48" s="5"/>
      <c r="L48" s="5"/>
      <c r="M48" s="5"/>
      <c r="N48" s="5"/>
      <c r="O48" s="4">
        <f t="shared" si="2"/>
        <v>-7.833333333333333</v>
      </c>
      <c r="P48" s="16">
        <f t="shared" si="3"/>
        <v>-100</v>
      </c>
      <c r="Q48" s="21"/>
    </row>
    <row r="49" spans="1:17" ht="47.25">
      <c r="A49" s="19"/>
      <c r="B49" s="20" t="s">
        <v>55</v>
      </c>
      <c r="C49" s="8" t="s">
        <v>21</v>
      </c>
      <c r="D49" s="5">
        <v>1968.41</v>
      </c>
      <c r="E49" s="5">
        <f t="shared" si="4"/>
        <v>820.17083333333335</v>
      </c>
      <c r="F49" s="5"/>
      <c r="G49" s="5">
        <v>669.17</v>
      </c>
      <c r="H49" s="5"/>
      <c r="I49" s="5"/>
      <c r="J49" s="5"/>
      <c r="K49" s="5"/>
      <c r="L49" s="5"/>
      <c r="M49" s="5"/>
      <c r="N49" s="5">
        <f>F49+G49+H49+I49+J49+K49+L49+M49</f>
        <v>669.17</v>
      </c>
      <c r="O49" s="4">
        <f t="shared" si="2"/>
        <v>-151.00083333333339</v>
      </c>
      <c r="P49" s="16">
        <f t="shared" si="3"/>
        <v>-18.410900168156033</v>
      </c>
      <c r="Q49" s="21"/>
    </row>
    <row r="50" spans="1:17" hidden="1">
      <c r="A50" s="19"/>
      <c r="B50" s="23" t="s">
        <v>35</v>
      </c>
      <c r="C50" s="8" t="s">
        <v>51</v>
      </c>
      <c r="D50" s="6">
        <v>100686</v>
      </c>
      <c r="E50" s="5">
        <f t="shared" si="4"/>
        <v>41952.5</v>
      </c>
      <c r="F50" s="6"/>
      <c r="G50" s="6"/>
      <c r="H50" s="6"/>
      <c r="I50" s="6"/>
      <c r="J50" s="6"/>
      <c r="K50" s="6"/>
      <c r="L50" s="6"/>
      <c r="M50" s="6"/>
      <c r="N50" s="6"/>
      <c r="O50" s="4">
        <f t="shared" si="2"/>
        <v>-41952.5</v>
      </c>
      <c r="P50" s="16">
        <f t="shared" si="3"/>
        <v>-100</v>
      </c>
      <c r="Q50" s="21"/>
    </row>
    <row r="51" spans="1:17" hidden="1">
      <c r="A51" s="19"/>
      <c r="B51" s="23" t="s">
        <v>37</v>
      </c>
      <c r="C51" s="8" t="s">
        <v>38</v>
      </c>
      <c r="D51" s="5">
        <v>19.55</v>
      </c>
      <c r="E51" s="5">
        <f t="shared" si="4"/>
        <v>8.1458333333333339</v>
      </c>
      <c r="F51" s="5"/>
      <c r="G51" s="5"/>
      <c r="H51" s="5"/>
      <c r="I51" s="5"/>
      <c r="J51" s="5"/>
      <c r="K51" s="5"/>
      <c r="L51" s="5"/>
      <c r="M51" s="5"/>
      <c r="N51" s="5"/>
      <c r="O51" s="4">
        <f t="shared" si="2"/>
        <v>-8.1458333333333339</v>
      </c>
      <c r="P51" s="16">
        <f t="shared" si="3"/>
        <v>-100</v>
      </c>
      <c r="Q51" s="21"/>
    </row>
    <row r="52" spans="1:17">
      <c r="A52" s="14" t="s">
        <v>56</v>
      </c>
      <c r="B52" s="15" t="s">
        <v>57</v>
      </c>
      <c r="C52" s="9" t="s">
        <v>21</v>
      </c>
      <c r="D52" s="4">
        <f t="shared" ref="D52:N52" si="13">D53+D54+D57</f>
        <v>72468.35673</v>
      </c>
      <c r="E52" s="4">
        <f t="shared" si="4"/>
        <v>30195.148637500002</v>
      </c>
      <c r="F52" s="4">
        <f t="shared" si="13"/>
        <v>3578.8880000000004</v>
      </c>
      <c r="G52" s="4">
        <f t="shared" si="13"/>
        <v>4124.5509999999995</v>
      </c>
      <c r="H52" s="4">
        <f t="shared" si="13"/>
        <v>4248.0029999999997</v>
      </c>
      <c r="I52" s="4">
        <f t="shared" si="13"/>
        <v>2904.0030000000002</v>
      </c>
      <c r="J52" s="4">
        <f t="shared" si="13"/>
        <v>2989.47</v>
      </c>
      <c r="K52" s="4">
        <f t="shared" si="13"/>
        <v>3748.9920000000002</v>
      </c>
      <c r="L52" s="4">
        <f t="shared" si="13"/>
        <v>1967.279</v>
      </c>
      <c r="M52" s="4">
        <f>M53+M54+M57</f>
        <v>92.635000000000005</v>
      </c>
      <c r="N52" s="4">
        <f t="shared" si="13"/>
        <v>23653.821</v>
      </c>
      <c r="O52" s="4">
        <f t="shared" si="2"/>
        <v>-6541.3276375000023</v>
      </c>
      <c r="P52" s="16">
        <f t="shared" si="3"/>
        <v>-21.663505339980958</v>
      </c>
      <c r="Q52" s="21" t="s">
        <v>58</v>
      </c>
    </row>
    <row r="53" spans="1:17" ht="31.5">
      <c r="A53" s="19" t="s">
        <v>59</v>
      </c>
      <c r="B53" s="20" t="s">
        <v>60</v>
      </c>
      <c r="C53" s="8" t="s">
        <v>21</v>
      </c>
      <c r="D53" s="5">
        <v>65940.27</v>
      </c>
      <c r="E53" s="5">
        <f t="shared" si="4"/>
        <v>27475.112499999999</v>
      </c>
      <c r="F53" s="5">
        <f>3249.983</f>
        <v>3249.9830000000002</v>
      </c>
      <c r="G53" s="5">
        <v>3746.4119999999998</v>
      </c>
      <c r="H53" s="5">
        <v>3858.8090000000002</v>
      </c>
      <c r="I53" s="5">
        <f>502.979+1869.832+271.331</f>
        <v>2644.1420000000003</v>
      </c>
      <c r="J53" s="5">
        <f>1008.4+834.595+872.451</f>
        <v>2715.4459999999999</v>
      </c>
      <c r="K53" s="5">
        <v>3416.806</v>
      </c>
      <c r="L53" s="5">
        <f>106.514+1680.373</f>
        <v>1786.8869999999999</v>
      </c>
      <c r="M53" s="5">
        <v>84.174999999999997</v>
      </c>
      <c r="N53" s="5">
        <f>F53+G53+H53+I53+J53+K53+L53+M53</f>
        <v>21502.66</v>
      </c>
      <c r="O53" s="4">
        <f t="shared" si="2"/>
        <v>-5972.4524999999994</v>
      </c>
      <c r="P53" s="16">
        <f t="shared" si="3"/>
        <v>-21.737681692841122</v>
      </c>
      <c r="Q53" s="21"/>
    </row>
    <row r="54" spans="1:17">
      <c r="A54" s="19" t="s">
        <v>61</v>
      </c>
      <c r="B54" s="20" t="s">
        <v>62</v>
      </c>
      <c r="C54" s="8" t="s">
        <v>21</v>
      </c>
      <c r="D54" s="5">
        <f t="shared" ref="D54:N54" si="14">D55+D56</f>
        <v>6528.0867300000009</v>
      </c>
      <c r="E54" s="5">
        <f t="shared" si="4"/>
        <v>2720.0361375000007</v>
      </c>
      <c r="F54" s="5">
        <f t="shared" si="14"/>
        <v>280.05799999999999</v>
      </c>
      <c r="G54" s="5">
        <f t="shared" si="14"/>
        <v>321.94400000000002</v>
      </c>
      <c r="H54" s="5">
        <f t="shared" si="14"/>
        <v>330.91399999999999</v>
      </c>
      <c r="I54" s="5">
        <f t="shared" si="14"/>
        <v>219.76600000000002</v>
      </c>
      <c r="J54" s="5">
        <f t="shared" si="14"/>
        <v>233.29199999999997</v>
      </c>
      <c r="K54" s="5">
        <f t="shared" si="14"/>
        <v>282.73099999999999</v>
      </c>
      <c r="L54" s="5">
        <f t="shared" si="14"/>
        <v>153.58799999999999</v>
      </c>
      <c r="M54" s="5">
        <f>M55+M56</f>
        <v>7.1970000000000001</v>
      </c>
      <c r="N54" s="5">
        <f t="shared" si="14"/>
        <v>1829.49</v>
      </c>
      <c r="O54" s="4">
        <f t="shared" si="2"/>
        <v>-890.54613750000067</v>
      </c>
      <c r="P54" s="16">
        <f t="shared" si="3"/>
        <v>-32.740231838188222</v>
      </c>
      <c r="Q54" s="21"/>
    </row>
    <row r="55" spans="1:17">
      <c r="A55" s="19" t="s">
        <v>63</v>
      </c>
      <c r="B55" s="26" t="s">
        <v>64</v>
      </c>
      <c r="C55" s="12" t="s">
        <v>21</v>
      </c>
      <c r="D55" s="5">
        <f>D53*4.5%</f>
        <v>2967.3121500000002</v>
      </c>
      <c r="E55" s="5">
        <f t="shared" si="4"/>
        <v>1236.3800625000001</v>
      </c>
      <c r="F55" s="5">
        <v>101.161</v>
      </c>
      <c r="G55" s="5">
        <v>118.277</v>
      </c>
      <c r="H55" s="5">
        <v>122.122</v>
      </c>
      <c r="I55" s="5">
        <f>15.756+67.114</f>
        <v>82.87</v>
      </c>
      <c r="J55" s="5">
        <f>31.902+26.42+27.627</f>
        <v>85.948999999999998</v>
      </c>
      <c r="K55" s="5">
        <v>103.69199999999999</v>
      </c>
      <c r="L55" s="5">
        <f>3.373+53.212</f>
        <v>56.585000000000001</v>
      </c>
      <c r="M55" s="5">
        <v>2.6509999999999998</v>
      </c>
      <c r="N55" s="5">
        <f>F55+G55+H55+I55+J55+K55+L55+M55</f>
        <v>673.30700000000002</v>
      </c>
      <c r="O55" s="4">
        <f t="shared" si="2"/>
        <v>-563.07306250000011</v>
      </c>
      <c r="P55" s="16">
        <f t="shared" si="3"/>
        <v>-45.542069107896189</v>
      </c>
      <c r="Q55" s="20"/>
    </row>
    <row r="56" spans="1:17">
      <c r="A56" s="19" t="s">
        <v>65</v>
      </c>
      <c r="B56" s="26" t="s">
        <v>62</v>
      </c>
      <c r="C56" s="12" t="s">
        <v>21</v>
      </c>
      <c r="D56" s="5">
        <f>D53*5.4%</f>
        <v>3560.7745800000007</v>
      </c>
      <c r="E56" s="5">
        <f t="shared" si="4"/>
        <v>1483.6560750000003</v>
      </c>
      <c r="F56" s="5">
        <v>178.89699999999999</v>
      </c>
      <c r="G56" s="5">
        <v>203.667</v>
      </c>
      <c r="H56" s="5">
        <v>208.792</v>
      </c>
      <c r="I56" s="5">
        <f>27.639+109.257</f>
        <v>136.89600000000002</v>
      </c>
      <c r="J56" s="5">
        <f>54.69+45.291+47.362</f>
        <v>147.34299999999999</v>
      </c>
      <c r="K56" s="5">
        <v>179.03899999999999</v>
      </c>
      <c r="L56" s="5">
        <f>5.783+91.22</f>
        <v>97.003</v>
      </c>
      <c r="M56" s="5">
        <v>4.5460000000000003</v>
      </c>
      <c r="N56" s="5">
        <f>F56+G56+H56+I56+J56+K56+L56+M56</f>
        <v>1156.183</v>
      </c>
      <c r="O56" s="4">
        <f t="shared" si="2"/>
        <v>-327.47307500000034</v>
      </c>
      <c r="P56" s="16">
        <f t="shared" si="3"/>
        <v>-22.072034113431599</v>
      </c>
      <c r="Q56" s="20"/>
    </row>
    <row r="57" spans="1:17">
      <c r="A57" s="19" t="s">
        <v>66</v>
      </c>
      <c r="B57" s="20" t="s">
        <v>67</v>
      </c>
      <c r="C57" s="8" t="s">
        <v>21</v>
      </c>
      <c r="D57" s="5"/>
      <c r="E57" s="5">
        <f t="shared" si="4"/>
        <v>0</v>
      </c>
      <c r="F57" s="5">
        <v>48.847000000000001</v>
      </c>
      <c r="G57" s="5">
        <v>56.195</v>
      </c>
      <c r="H57" s="5">
        <v>58.28</v>
      </c>
      <c r="I57" s="5">
        <f>7.545+32.55</f>
        <v>40.094999999999999</v>
      </c>
      <c r="J57" s="5">
        <f>15.127+12.519+13.086</f>
        <v>40.731999999999999</v>
      </c>
      <c r="K57" s="5">
        <v>49.454999999999998</v>
      </c>
      <c r="L57" s="5">
        <f>1.598+25.206</f>
        <v>26.803999999999998</v>
      </c>
      <c r="M57" s="5">
        <v>1.2629999999999999</v>
      </c>
      <c r="N57" s="5">
        <f>F57+G57+H57+I57+J57+K57+L57+M57</f>
        <v>321.67099999999994</v>
      </c>
      <c r="O57" s="4">
        <f t="shared" si="2"/>
        <v>321.67099999999994</v>
      </c>
      <c r="P57" s="16" t="e">
        <f t="shared" si="3"/>
        <v>#DIV/0!</v>
      </c>
      <c r="Q57" s="20" t="s">
        <v>68</v>
      </c>
    </row>
    <row r="58" spans="1:17" s="10" customFormat="1">
      <c r="A58" s="14" t="s">
        <v>69</v>
      </c>
      <c r="B58" s="15" t="s">
        <v>70</v>
      </c>
      <c r="C58" s="9" t="s">
        <v>21</v>
      </c>
      <c r="D58" s="4">
        <v>11213.27</v>
      </c>
      <c r="E58" s="4">
        <f t="shared" si="4"/>
        <v>4672.1958333333332</v>
      </c>
      <c r="F58" s="4">
        <v>3880.9259999999999</v>
      </c>
      <c r="G58" s="4">
        <v>2357.0230000000001</v>
      </c>
      <c r="H58" s="4">
        <v>0</v>
      </c>
      <c r="I58" s="4"/>
      <c r="J58" s="4"/>
      <c r="K58" s="4"/>
      <c r="L58" s="4"/>
      <c r="M58" s="4">
        <v>509.75599999999997</v>
      </c>
      <c r="N58" s="4">
        <f>F58+G58+H58+I58+J58+K58+L58+M58</f>
        <v>6747.7050000000008</v>
      </c>
      <c r="O58" s="4">
        <f t="shared" si="2"/>
        <v>2075.5091666666676</v>
      </c>
      <c r="P58" s="16">
        <f t="shared" si="3"/>
        <v>44.422563623278535</v>
      </c>
      <c r="Q58" s="15"/>
    </row>
    <row r="59" spans="1:17" s="10" customFormat="1" ht="47.25">
      <c r="A59" s="14" t="s">
        <v>71</v>
      </c>
      <c r="B59" s="15" t="s">
        <v>72</v>
      </c>
      <c r="C59" s="9" t="s">
        <v>21</v>
      </c>
      <c r="D59" s="4">
        <v>0</v>
      </c>
      <c r="E59" s="4">
        <f t="shared" si="4"/>
        <v>0</v>
      </c>
      <c r="F59" s="4"/>
      <c r="G59" s="4"/>
      <c r="H59" s="4"/>
      <c r="I59" s="4"/>
      <c r="J59" s="4"/>
      <c r="K59" s="4"/>
      <c r="L59" s="4"/>
      <c r="M59" s="4"/>
      <c r="N59" s="5">
        <f>F59+G59+H59+I59+J59+K59+L59+M59</f>
        <v>0</v>
      </c>
      <c r="O59" s="4">
        <f t="shared" si="2"/>
        <v>0</v>
      </c>
      <c r="P59" s="16" t="e">
        <f t="shared" si="3"/>
        <v>#DIV/0!</v>
      </c>
      <c r="Q59" s="15"/>
    </row>
    <row r="60" spans="1:17" s="10" customFormat="1" ht="47.25">
      <c r="A60" s="14" t="s">
        <v>73</v>
      </c>
      <c r="B60" s="15" t="s">
        <v>74</v>
      </c>
      <c r="C60" s="9" t="s">
        <v>21</v>
      </c>
      <c r="D60" s="4">
        <v>2353.0439999999999</v>
      </c>
      <c r="E60" s="4">
        <f t="shared" si="4"/>
        <v>980.43499999999995</v>
      </c>
      <c r="F60" s="4">
        <f>F61+F62+F66</f>
        <v>552.43999999999994</v>
      </c>
      <c r="G60" s="4">
        <f t="shared" ref="G60:M60" si="15">G61+G62+G66</f>
        <v>239.905</v>
      </c>
      <c r="H60" s="4">
        <f t="shared" si="15"/>
        <v>684.20799999999997</v>
      </c>
      <c r="I60" s="4">
        <f t="shared" si="15"/>
        <v>144.46699999999998</v>
      </c>
      <c r="J60" s="4">
        <f t="shared" si="15"/>
        <v>0</v>
      </c>
      <c r="K60" s="4">
        <f t="shared" si="15"/>
        <v>57.72</v>
      </c>
      <c r="L60" s="4">
        <f t="shared" si="15"/>
        <v>46.676000000000002</v>
      </c>
      <c r="M60" s="4">
        <f t="shared" si="15"/>
        <v>24.05</v>
      </c>
      <c r="N60" s="4">
        <f>N61+N62+N66</f>
        <v>1749.4659999999999</v>
      </c>
      <c r="O60" s="4">
        <f t="shared" si="2"/>
        <v>769.03099999999995</v>
      </c>
      <c r="P60" s="16">
        <f t="shared" si="3"/>
        <v>78.437734271012346</v>
      </c>
      <c r="Q60" s="20" t="s">
        <v>75</v>
      </c>
    </row>
    <row r="61" spans="1:17" ht="47.25">
      <c r="A61" s="19" t="s">
        <v>76</v>
      </c>
      <c r="B61" s="20" t="s">
        <v>77</v>
      </c>
      <c r="C61" s="8" t="s">
        <v>21</v>
      </c>
      <c r="D61" s="5">
        <v>58.859000000000002</v>
      </c>
      <c r="E61" s="5">
        <f t="shared" si="4"/>
        <v>24.524583333333332</v>
      </c>
      <c r="F61" s="5">
        <v>6.6529999999999996</v>
      </c>
      <c r="G61" s="5">
        <f>9.504+5.228</f>
        <v>14.731999999999999</v>
      </c>
      <c r="H61" s="5">
        <v>5.7030000000000003</v>
      </c>
      <c r="I61" s="5"/>
      <c r="J61" s="5"/>
      <c r="K61" s="5"/>
      <c r="L61" s="5"/>
      <c r="M61" s="5"/>
      <c r="N61" s="5">
        <f>F61+G61+H61+I61+J61+K61+L61+M61</f>
        <v>27.087999999999997</v>
      </c>
      <c r="O61" s="4">
        <f t="shared" si="2"/>
        <v>2.5634166666666651</v>
      </c>
      <c r="P61" s="16">
        <f t="shared" si="3"/>
        <v>10.45243718038023</v>
      </c>
      <c r="Q61" s="20" t="s">
        <v>78</v>
      </c>
    </row>
    <row r="62" spans="1:17">
      <c r="A62" s="19" t="s">
        <v>79</v>
      </c>
      <c r="B62" s="20" t="s">
        <v>80</v>
      </c>
      <c r="C62" s="8" t="s">
        <v>21</v>
      </c>
      <c r="D62" s="5">
        <v>692.83299999999997</v>
      </c>
      <c r="E62" s="5">
        <f t="shared" si="4"/>
        <v>288.68041666666664</v>
      </c>
      <c r="F62" s="5">
        <f t="shared" ref="F62:N62" si="16">F63+F64+F65</f>
        <v>173.54</v>
      </c>
      <c r="G62" s="5">
        <f t="shared" si="16"/>
        <v>67.34</v>
      </c>
      <c r="H62" s="5">
        <f t="shared" si="16"/>
        <v>226.07</v>
      </c>
      <c r="I62" s="5">
        <f t="shared" si="16"/>
        <v>0</v>
      </c>
      <c r="J62" s="5">
        <f t="shared" si="16"/>
        <v>0</v>
      </c>
      <c r="K62" s="5">
        <f t="shared" si="16"/>
        <v>57.72</v>
      </c>
      <c r="L62" s="5">
        <f t="shared" si="16"/>
        <v>46.676000000000002</v>
      </c>
      <c r="M62" s="5">
        <f>M63+M64+M65</f>
        <v>24.05</v>
      </c>
      <c r="N62" s="5">
        <f t="shared" si="16"/>
        <v>595.39599999999996</v>
      </c>
      <c r="O62" s="4">
        <f t="shared" si="2"/>
        <v>306.71558333333331</v>
      </c>
      <c r="P62" s="16">
        <f t="shared" si="3"/>
        <v>106.24745068436408</v>
      </c>
      <c r="Q62" s="20" t="s">
        <v>81</v>
      </c>
    </row>
    <row r="63" spans="1:17">
      <c r="A63" s="19" t="s">
        <v>82</v>
      </c>
      <c r="B63" s="26" t="s">
        <v>83</v>
      </c>
      <c r="C63" s="12"/>
      <c r="D63" s="7"/>
      <c r="E63" s="5">
        <f t="shared" si="4"/>
        <v>0</v>
      </c>
      <c r="F63" s="7"/>
      <c r="G63" s="7"/>
      <c r="H63" s="7"/>
      <c r="I63" s="7"/>
      <c r="J63" s="7"/>
      <c r="K63" s="7"/>
      <c r="L63" s="7"/>
      <c r="M63" s="7"/>
      <c r="N63" s="5">
        <f>F63+G63+H63+I63+J63+K63+L63+M63</f>
        <v>0</v>
      </c>
      <c r="O63" s="4">
        <f t="shared" si="2"/>
        <v>0</v>
      </c>
      <c r="P63" s="16" t="e">
        <f t="shared" si="3"/>
        <v>#DIV/0!</v>
      </c>
      <c r="Q63" s="20"/>
    </row>
    <row r="64" spans="1:17">
      <c r="A64" s="19" t="s">
        <v>84</v>
      </c>
      <c r="B64" s="26" t="s">
        <v>85</v>
      </c>
      <c r="C64" s="12"/>
      <c r="D64" s="7"/>
      <c r="E64" s="5">
        <f t="shared" si="4"/>
        <v>0</v>
      </c>
      <c r="F64" s="7">
        <v>10</v>
      </c>
      <c r="G64" s="7"/>
      <c r="H64" s="7"/>
      <c r="I64" s="7"/>
      <c r="J64" s="7"/>
      <c r="K64" s="7"/>
      <c r="L64" s="7"/>
      <c r="M64" s="7"/>
      <c r="N64" s="5">
        <f>F64+G64+H64+I64+J64+K64+L64+M64</f>
        <v>10</v>
      </c>
      <c r="O64" s="4">
        <f t="shared" si="2"/>
        <v>10</v>
      </c>
      <c r="P64" s="16" t="e">
        <f t="shared" si="3"/>
        <v>#DIV/0!</v>
      </c>
      <c r="Q64" s="20"/>
    </row>
    <row r="65" spans="1:17">
      <c r="A65" s="19" t="s">
        <v>86</v>
      </c>
      <c r="B65" s="26" t="s">
        <v>87</v>
      </c>
      <c r="C65" s="12"/>
      <c r="D65" s="7"/>
      <c r="E65" s="5">
        <f t="shared" si="4"/>
        <v>0</v>
      </c>
      <c r="F65" s="7">
        <f>86.58+76.96</f>
        <v>163.54</v>
      </c>
      <c r="G65" s="7">
        <f>67.34</f>
        <v>67.34</v>
      </c>
      <c r="H65" s="7">
        <f>62.53+163.54</f>
        <v>226.07</v>
      </c>
      <c r="I65" s="7"/>
      <c r="J65" s="7"/>
      <c r="K65" s="7">
        <v>57.72</v>
      </c>
      <c r="L65" s="7">
        <v>46.676000000000002</v>
      </c>
      <c r="M65" s="7">
        <v>24.05</v>
      </c>
      <c r="N65" s="5">
        <f>F65+G65+H65+I65+J65+K65+L65+M65</f>
        <v>585.39599999999996</v>
      </c>
      <c r="O65" s="4">
        <f t="shared" si="2"/>
        <v>585.39599999999996</v>
      </c>
      <c r="P65" s="16" t="e">
        <f t="shared" si="3"/>
        <v>#DIV/0!</v>
      </c>
      <c r="Q65" s="20"/>
    </row>
    <row r="66" spans="1:17">
      <c r="A66" s="19" t="s">
        <v>88</v>
      </c>
      <c r="B66" s="20" t="s">
        <v>89</v>
      </c>
      <c r="C66" s="8" t="s">
        <v>21</v>
      </c>
      <c r="D66" s="5">
        <v>1646.6859999999999</v>
      </c>
      <c r="E66" s="5">
        <f t="shared" si="4"/>
        <v>686.11916666666662</v>
      </c>
      <c r="F66" s="5">
        <f t="shared" ref="F66:L66" si="17">F67+F74+F75+F76+F77+F78+F79</f>
        <v>372.24699999999996</v>
      </c>
      <c r="G66" s="5">
        <f t="shared" si="17"/>
        <v>157.833</v>
      </c>
      <c r="H66" s="5">
        <f t="shared" si="17"/>
        <v>452.435</v>
      </c>
      <c r="I66" s="5">
        <f t="shared" si="17"/>
        <v>144.46699999999998</v>
      </c>
      <c r="J66" s="5">
        <f t="shared" si="17"/>
        <v>0</v>
      </c>
      <c r="K66" s="5">
        <f t="shared" si="17"/>
        <v>0</v>
      </c>
      <c r="L66" s="5">
        <f t="shared" si="17"/>
        <v>0</v>
      </c>
      <c r="M66" s="5">
        <f>M67+M74+M75+M76+M77+M78+M79</f>
        <v>0</v>
      </c>
      <c r="N66" s="5">
        <f>N67+N74+N75+N76+N77+N78+N79</f>
        <v>1126.982</v>
      </c>
      <c r="O66" s="4">
        <f t="shared" si="2"/>
        <v>440.86283333333336</v>
      </c>
      <c r="P66" s="16">
        <f t="shared" si="3"/>
        <v>64.25455733515679</v>
      </c>
      <c r="Q66" s="20"/>
    </row>
    <row r="67" spans="1:17">
      <c r="A67" s="19" t="s">
        <v>90</v>
      </c>
      <c r="B67" s="20" t="s">
        <v>91</v>
      </c>
      <c r="C67" s="8" t="s">
        <v>21</v>
      </c>
      <c r="D67" s="5">
        <f>D68+D69+D70+D71+D72+D73</f>
        <v>1471.971</v>
      </c>
      <c r="E67" s="5">
        <f t="shared" si="4"/>
        <v>613.32124999999996</v>
      </c>
      <c r="F67" s="5">
        <f t="shared" ref="F67:L67" si="18">F68+F69+F70+F71+F72+F73</f>
        <v>306.79199999999997</v>
      </c>
      <c r="G67" s="5">
        <f>G68+G69+G70+G71+G72+G73</f>
        <v>157.833</v>
      </c>
      <c r="H67" s="5">
        <f t="shared" si="18"/>
        <v>350.98</v>
      </c>
      <c r="I67" s="5">
        <f t="shared" si="18"/>
        <v>144.46699999999998</v>
      </c>
      <c r="J67" s="5">
        <f t="shared" si="18"/>
        <v>0</v>
      </c>
      <c r="K67" s="5">
        <f t="shared" si="18"/>
        <v>0</v>
      </c>
      <c r="L67" s="5">
        <f t="shared" si="18"/>
        <v>0</v>
      </c>
      <c r="M67" s="5">
        <f>M68+M69+M70+M71+M72+M73</f>
        <v>0</v>
      </c>
      <c r="N67" s="5">
        <f t="shared" ref="N67:N79" si="19">F67+G67+H67+I67+J67+K67+L67+M67</f>
        <v>960.072</v>
      </c>
      <c r="O67" s="4">
        <f t="shared" si="2"/>
        <v>346.75075000000004</v>
      </c>
      <c r="P67" s="16">
        <f t="shared" si="3"/>
        <v>56.536562201293378</v>
      </c>
      <c r="Q67" s="20"/>
    </row>
    <row r="68" spans="1:17" ht="78.75">
      <c r="A68" s="19" t="s">
        <v>92</v>
      </c>
      <c r="B68" s="26" t="s">
        <v>93</v>
      </c>
      <c r="C68" s="8" t="s">
        <v>21</v>
      </c>
      <c r="D68" s="5">
        <v>460.56400000000002</v>
      </c>
      <c r="E68" s="5">
        <f t="shared" si="4"/>
        <v>191.90166666666667</v>
      </c>
      <c r="F68" s="5">
        <v>73.141999999999996</v>
      </c>
      <c r="G68" s="5">
        <f>33.977</f>
        <v>33.976999999999997</v>
      </c>
      <c r="H68" s="5">
        <v>75.501000000000005</v>
      </c>
      <c r="I68" s="5"/>
      <c r="J68" s="5"/>
      <c r="K68" s="5"/>
      <c r="L68" s="5"/>
      <c r="M68" s="5"/>
      <c r="N68" s="5">
        <f t="shared" si="19"/>
        <v>182.62</v>
      </c>
      <c r="O68" s="4">
        <f t="shared" si="2"/>
        <v>-9.2816666666666663</v>
      </c>
      <c r="P68" s="16">
        <f t="shared" si="3"/>
        <v>-4.8366785072215777</v>
      </c>
      <c r="Q68" s="38" t="s">
        <v>94</v>
      </c>
    </row>
    <row r="69" spans="1:17" ht="31.5">
      <c r="A69" s="19" t="s">
        <v>95</v>
      </c>
      <c r="B69" s="26" t="s">
        <v>96</v>
      </c>
      <c r="C69" s="8" t="s">
        <v>21</v>
      </c>
      <c r="D69" s="5">
        <v>80.751000000000005</v>
      </c>
      <c r="E69" s="5">
        <f t="shared" si="4"/>
        <v>33.646250000000002</v>
      </c>
      <c r="F69" s="5">
        <f>3.214+6.976</f>
        <v>10.19</v>
      </c>
      <c r="G69" s="5">
        <f>2.922+13.934</f>
        <v>16.855999999999998</v>
      </c>
      <c r="H69" s="5">
        <f>9.058+33.752</f>
        <v>42.81</v>
      </c>
      <c r="I69" s="5">
        <v>63.366999999999997</v>
      </c>
      <c r="J69" s="5"/>
      <c r="K69" s="5"/>
      <c r="L69" s="5"/>
      <c r="M69" s="5"/>
      <c r="N69" s="5">
        <f t="shared" si="19"/>
        <v>133.22299999999998</v>
      </c>
      <c r="O69" s="4">
        <f t="shared" si="2"/>
        <v>99.576749999999976</v>
      </c>
      <c r="P69" s="16">
        <f t="shared" si="3"/>
        <v>295.95200059441981</v>
      </c>
      <c r="Q69" s="39"/>
    </row>
    <row r="70" spans="1:17" ht="31.5">
      <c r="A70" s="19" t="s">
        <v>97</v>
      </c>
      <c r="B70" s="26" t="s">
        <v>98</v>
      </c>
      <c r="C70" s="8" t="s">
        <v>21</v>
      </c>
      <c r="D70" s="5">
        <v>25.366</v>
      </c>
      <c r="E70" s="5">
        <f t="shared" si="4"/>
        <v>10.569166666666668</v>
      </c>
      <c r="F70" s="5"/>
      <c r="G70" s="5"/>
      <c r="H70" s="5"/>
      <c r="I70" s="5"/>
      <c r="J70" s="5"/>
      <c r="K70" s="5"/>
      <c r="L70" s="5"/>
      <c r="M70" s="5"/>
      <c r="N70" s="5">
        <f t="shared" si="19"/>
        <v>0</v>
      </c>
      <c r="O70" s="4">
        <f t="shared" si="2"/>
        <v>-10.569166666666668</v>
      </c>
      <c r="P70" s="16">
        <f t="shared" si="3"/>
        <v>-100</v>
      </c>
      <c r="Q70" s="40"/>
    </row>
    <row r="71" spans="1:17" ht="47.25">
      <c r="A71" s="19" t="s">
        <v>99</v>
      </c>
      <c r="B71" s="26" t="s">
        <v>100</v>
      </c>
      <c r="C71" s="8" t="s">
        <v>21</v>
      </c>
      <c r="D71" s="5">
        <v>454</v>
      </c>
      <c r="E71" s="5">
        <f t="shared" si="4"/>
        <v>189.16666666666669</v>
      </c>
      <c r="F71" s="5">
        <v>217</v>
      </c>
      <c r="G71" s="5">
        <v>107</v>
      </c>
      <c r="H71" s="5">
        <v>121.5</v>
      </c>
      <c r="I71" s="5"/>
      <c r="J71" s="5"/>
      <c r="K71" s="5"/>
      <c r="L71" s="5"/>
      <c r="M71" s="5"/>
      <c r="N71" s="5">
        <f t="shared" si="19"/>
        <v>445.5</v>
      </c>
      <c r="O71" s="4">
        <f t="shared" si="2"/>
        <v>256.33333333333331</v>
      </c>
      <c r="P71" s="16">
        <f t="shared" si="3"/>
        <v>135.50660792951538</v>
      </c>
      <c r="Q71" s="20" t="s">
        <v>101</v>
      </c>
    </row>
    <row r="72" spans="1:17" ht="78.75">
      <c r="A72" s="19" t="s">
        <v>102</v>
      </c>
      <c r="B72" s="26" t="s">
        <v>103</v>
      </c>
      <c r="C72" s="8" t="s">
        <v>21</v>
      </c>
      <c r="D72" s="5">
        <v>230.05199999999999</v>
      </c>
      <c r="E72" s="5">
        <f t="shared" si="4"/>
        <v>95.85499999999999</v>
      </c>
      <c r="F72" s="5">
        <v>6.46</v>
      </c>
      <c r="G72" s="5"/>
      <c r="H72" s="5">
        <f>23.017+88.152</f>
        <v>111.169</v>
      </c>
      <c r="I72" s="5">
        <v>81.099999999999994</v>
      </c>
      <c r="J72" s="5"/>
      <c r="K72" s="5"/>
      <c r="L72" s="5"/>
      <c r="M72" s="5"/>
      <c r="N72" s="5">
        <f t="shared" si="19"/>
        <v>198.72899999999998</v>
      </c>
      <c r="O72" s="4">
        <f t="shared" si="2"/>
        <v>102.874</v>
      </c>
      <c r="P72" s="16">
        <f t="shared" si="3"/>
        <v>107.32251838714726</v>
      </c>
      <c r="Q72" s="20"/>
    </row>
    <row r="73" spans="1:17" ht="31.5">
      <c r="A73" s="19" t="s">
        <v>104</v>
      </c>
      <c r="B73" s="26" t="s">
        <v>105</v>
      </c>
      <c r="C73" s="8" t="s">
        <v>21</v>
      </c>
      <c r="D73" s="5">
        <v>221.238</v>
      </c>
      <c r="E73" s="5">
        <f t="shared" si="4"/>
        <v>92.18249999999999</v>
      </c>
      <c r="F73" s="5"/>
      <c r="G73" s="5"/>
      <c r="H73" s="5"/>
      <c r="I73" s="5"/>
      <c r="J73" s="5"/>
      <c r="K73" s="5"/>
      <c r="L73" s="5"/>
      <c r="M73" s="5"/>
      <c r="N73" s="5">
        <f t="shared" si="19"/>
        <v>0</v>
      </c>
      <c r="O73" s="4">
        <f t="shared" si="2"/>
        <v>-92.18249999999999</v>
      </c>
      <c r="P73" s="16">
        <f t="shared" si="3"/>
        <v>-100</v>
      </c>
      <c r="Q73" s="20"/>
    </row>
    <row r="74" spans="1:17" ht="31.5">
      <c r="A74" s="19" t="s">
        <v>106</v>
      </c>
      <c r="B74" s="20" t="s">
        <v>107</v>
      </c>
      <c r="C74" s="8" t="s">
        <v>21</v>
      </c>
      <c r="D74" s="5">
        <v>75</v>
      </c>
      <c r="E74" s="5">
        <f t="shared" si="4"/>
        <v>31.25</v>
      </c>
      <c r="F74" s="5"/>
      <c r="G74" s="5"/>
      <c r="H74" s="5">
        <v>36</v>
      </c>
      <c r="I74" s="5"/>
      <c r="J74" s="5"/>
      <c r="K74" s="5"/>
      <c r="L74" s="5"/>
      <c r="M74" s="5"/>
      <c r="N74" s="5">
        <f t="shared" si="19"/>
        <v>36</v>
      </c>
      <c r="O74" s="4">
        <f t="shared" ref="O74:O130" si="20">N74-E74</f>
        <v>4.75</v>
      </c>
      <c r="P74" s="16">
        <f t="shared" ref="P74:P122" si="21">N74/E74*100-100</f>
        <v>15.199999999999989</v>
      </c>
      <c r="Q74" s="20" t="s">
        <v>94</v>
      </c>
    </row>
    <row r="75" spans="1:17">
      <c r="A75" s="19" t="s">
        <v>108</v>
      </c>
      <c r="B75" s="20" t="s">
        <v>109</v>
      </c>
      <c r="C75" s="8" t="s">
        <v>21</v>
      </c>
      <c r="D75" s="5">
        <v>346.75900000000001</v>
      </c>
      <c r="E75" s="5">
        <f t="shared" si="4"/>
        <v>144.48291666666668</v>
      </c>
      <c r="F75" s="5"/>
      <c r="G75" s="5"/>
      <c r="H75" s="5"/>
      <c r="I75" s="5"/>
      <c r="J75" s="5"/>
      <c r="K75" s="5"/>
      <c r="L75" s="5"/>
      <c r="M75" s="5"/>
      <c r="N75" s="5">
        <f t="shared" si="19"/>
        <v>0</v>
      </c>
      <c r="O75" s="4">
        <f t="shared" si="20"/>
        <v>-144.48291666666668</v>
      </c>
      <c r="P75" s="16">
        <f t="shared" si="21"/>
        <v>-100</v>
      </c>
      <c r="Q75" s="20" t="s">
        <v>110</v>
      </c>
    </row>
    <row r="76" spans="1:17" ht="31.5">
      <c r="A76" s="19" t="s">
        <v>111</v>
      </c>
      <c r="B76" s="20" t="s">
        <v>112</v>
      </c>
      <c r="C76" s="8" t="s">
        <v>21</v>
      </c>
      <c r="D76" s="5">
        <v>594</v>
      </c>
      <c r="E76" s="5">
        <f t="shared" ref="E76:E122" si="22">D76/12*5</f>
        <v>247.5</v>
      </c>
      <c r="F76" s="5"/>
      <c r="G76" s="5"/>
      <c r="H76" s="5"/>
      <c r="I76" s="5"/>
      <c r="J76" s="5"/>
      <c r="K76" s="5"/>
      <c r="L76" s="5"/>
      <c r="M76" s="5"/>
      <c r="N76" s="5">
        <f t="shared" si="19"/>
        <v>0</v>
      </c>
      <c r="O76" s="4">
        <f t="shared" si="20"/>
        <v>-247.5</v>
      </c>
      <c r="P76" s="16">
        <f t="shared" si="21"/>
        <v>-100</v>
      </c>
      <c r="Q76" s="20" t="s">
        <v>94</v>
      </c>
    </row>
    <row r="77" spans="1:17">
      <c r="A77" s="19" t="s">
        <v>113</v>
      </c>
      <c r="B77" s="20" t="s">
        <v>114</v>
      </c>
      <c r="C77" s="8" t="s">
        <v>21</v>
      </c>
      <c r="D77" s="5"/>
      <c r="E77" s="5">
        <f t="shared" si="22"/>
        <v>0</v>
      </c>
      <c r="F77" s="5">
        <v>65.454999999999998</v>
      </c>
      <c r="G77" s="5"/>
      <c r="H77" s="5">
        <v>65.454999999999998</v>
      </c>
      <c r="I77" s="5"/>
      <c r="J77" s="5"/>
      <c r="K77" s="5"/>
      <c r="L77" s="5"/>
      <c r="M77" s="5"/>
      <c r="N77" s="5">
        <f t="shared" si="19"/>
        <v>130.91</v>
      </c>
      <c r="O77" s="4">
        <f t="shared" si="20"/>
        <v>130.91</v>
      </c>
      <c r="P77" s="16" t="e">
        <f t="shared" si="21"/>
        <v>#DIV/0!</v>
      </c>
      <c r="Q77" s="38" t="s">
        <v>68</v>
      </c>
    </row>
    <row r="78" spans="1:17">
      <c r="A78" s="19" t="s">
        <v>115</v>
      </c>
      <c r="B78" s="20" t="s">
        <v>116</v>
      </c>
      <c r="C78" s="8" t="s">
        <v>21</v>
      </c>
      <c r="D78" s="5"/>
      <c r="E78" s="5">
        <f t="shared" si="22"/>
        <v>0</v>
      </c>
      <c r="F78" s="5"/>
      <c r="G78" s="5"/>
      <c r="H78" s="5"/>
      <c r="I78" s="5"/>
      <c r="J78" s="5"/>
      <c r="K78" s="5"/>
      <c r="L78" s="5"/>
      <c r="M78" s="5"/>
      <c r="N78" s="5">
        <f t="shared" si="19"/>
        <v>0</v>
      </c>
      <c r="O78" s="4">
        <f t="shared" si="20"/>
        <v>0</v>
      </c>
      <c r="P78" s="16" t="e">
        <f t="shared" si="21"/>
        <v>#DIV/0!</v>
      </c>
      <c r="Q78" s="39"/>
    </row>
    <row r="79" spans="1:17">
      <c r="A79" s="19" t="s">
        <v>117</v>
      </c>
      <c r="B79" s="20" t="s">
        <v>118</v>
      </c>
      <c r="C79" s="8" t="s">
        <v>21</v>
      </c>
      <c r="D79" s="5"/>
      <c r="E79" s="5">
        <f t="shared" si="22"/>
        <v>0</v>
      </c>
      <c r="F79" s="5"/>
      <c r="G79" s="5"/>
      <c r="H79" s="5"/>
      <c r="I79" s="5"/>
      <c r="J79" s="5"/>
      <c r="K79" s="5"/>
      <c r="L79" s="5"/>
      <c r="M79" s="5"/>
      <c r="N79" s="5">
        <f t="shared" si="19"/>
        <v>0</v>
      </c>
      <c r="O79" s="4">
        <f t="shared" si="20"/>
        <v>0</v>
      </c>
      <c r="P79" s="16" t="e">
        <f t="shared" si="21"/>
        <v>#DIV/0!</v>
      </c>
      <c r="Q79" s="39"/>
    </row>
    <row r="80" spans="1:17" s="10" customFormat="1">
      <c r="A80" s="14" t="s">
        <v>119</v>
      </c>
      <c r="B80" s="15" t="s">
        <v>120</v>
      </c>
      <c r="C80" s="9" t="s">
        <v>21</v>
      </c>
      <c r="D80" s="4">
        <f>D81</f>
        <v>21814.317500000005</v>
      </c>
      <c r="E80" s="4">
        <f t="shared" si="22"/>
        <v>9089.2989583333347</v>
      </c>
      <c r="F80" s="4">
        <f t="shared" ref="F80:N80" si="23">F81</f>
        <v>29.969000000000001</v>
      </c>
      <c r="G80" s="4">
        <f t="shared" si="23"/>
        <v>1332.7560000000001</v>
      </c>
      <c r="H80" s="4">
        <f t="shared" si="23"/>
        <v>2713.2219999999998</v>
      </c>
      <c r="I80" s="4">
        <f t="shared" si="23"/>
        <v>0</v>
      </c>
      <c r="J80" s="4">
        <f t="shared" si="23"/>
        <v>0</v>
      </c>
      <c r="K80" s="4">
        <f t="shared" si="23"/>
        <v>0</v>
      </c>
      <c r="L80" s="4">
        <f t="shared" si="23"/>
        <v>0</v>
      </c>
      <c r="M80" s="4">
        <f t="shared" si="23"/>
        <v>21261.681</v>
      </c>
      <c r="N80" s="4">
        <f t="shared" si="23"/>
        <v>13328.862810000002</v>
      </c>
      <c r="O80" s="4">
        <f t="shared" si="20"/>
        <v>4239.5638516666677</v>
      </c>
      <c r="P80" s="16">
        <f t="shared" si="21"/>
        <v>46.643463605955134</v>
      </c>
      <c r="Q80" s="15"/>
    </row>
    <row r="81" spans="1:18" s="10" customFormat="1" ht="47.25">
      <c r="A81" s="14" t="s">
        <v>121</v>
      </c>
      <c r="B81" s="15" t="s">
        <v>122</v>
      </c>
      <c r="C81" s="9" t="s">
        <v>21</v>
      </c>
      <c r="D81" s="4">
        <f>D82+D83+D86+D88+D89+D90+D91+D92+D96+D97+D98+D104+D87</f>
        <v>21814.317500000005</v>
      </c>
      <c r="E81" s="4">
        <f t="shared" si="22"/>
        <v>9089.2989583333347</v>
      </c>
      <c r="F81" s="4">
        <f t="shared" ref="F81:L81" si="24">F82+F83+F86+F88+F89+F90+F91+F92+F96+F97+F98+F104+F87</f>
        <v>29.969000000000001</v>
      </c>
      <c r="G81" s="4">
        <f t="shared" si="24"/>
        <v>1332.7560000000001</v>
      </c>
      <c r="H81" s="4">
        <f t="shared" si="24"/>
        <v>2713.2219999999998</v>
      </c>
      <c r="I81" s="4">
        <f t="shared" si="24"/>
        <v>0</v>
      </c>
      <c r="J81" s="4">
        <f t="shared" si="24"/>
        <v>0</v>
      </c>
      <c r="K81" s="4">
        <f t="shared" si="24"/>
        <v>0</v>
      </c>
      <c r="L81" s="4">
        <f t="shared" si="24"/>
        <v>0</v>
      </c>
      <c r="M81" s="4">
        <f>M82+M83+M86+M88+M89+M90+M91+M92+M96+M97+M98+M104+M87</f>
        <v>21261.681</v>
      </c>
      <c r="N81" s="4">
        <f>N82+N83+N86+N88+N89+N90+N91+N92+N96+N97+N98+N104+N87</f>
        <v>13328.862810000002</v>
      </c>
      <c r="O81" s="4">
        <f t="shared" si="20"/>
        <v>4239.5638516666677</v>
      </c>
      <c r="P81" s="16">
        <f t="shared" si="21"/>
        <v>46.643463605955134</v>
      </c>
      <c r="Q81" s="20" t="s">
        <v>123</v>
      </c>
      <c r="R81" s="18"/>
    </row>
    <row r="82" spans="1:18" ht="31.5">
      <c r="A82" s="19" t="s">
        <v>124</v>
      </c>
      <c r="B82" s="20" t="s">
        <v>125</v>
      </c>
      <c r="C82" s="8" t="s">
        <v>21</v>
      </c>
      <c r="D82" s="5">
        <v>8837.5</v>
      </c>
      <c r="E82" s="5">
        <f t="shared" si="22"/>
        <v>3682.291666666667</v>
      </c>
      <c r="F82" s="5"/>
      <c r="G82" s="5"/>
      <c r="H82" s="5"/>
      <c r="I82" s="5"/>
      <c r="J82" s="5"/>
      <c r="K82" s="5"/>
      <c r="L82" s="5"/>
      <c r="M82" s="5">
        <f>13908.288</f>
        <v>13908.288</v>
      </c>
      <c r="N82" s="5">
        <f>F82+G82+H82+I82+J82+K82+L82+M82-7458.123</f>
        <v>6450.1650000000009</v>
      </c>
      <c r="O82" s="4">
        <f t="shared" si="20"/>
        <v>2767.8733333333339</v>
      </c>
      <c r="P82" s="16">
        <f t="shared" si="21"/>
        <v>75.167140028288543</v>
      </c>
      <c r="Q82" s="20"/>
    </row>
    <row r="83" spans="1:18">
      <c r="A83" s="19" t="s">
        <v>126</v>
      </c>
      <c r="B83" s="20" t="s">
        <v>127</v>
      </c>
      <c r="C83" s="8" t="s">
        <v>21</v>
      </c>
      <c r="D83" s="5">
        <f>D84+D85</f>
        <v>874.91250000000014</v>
      </c>
      <c r="E83" s="5">
        <f t="shared" si="22"/>
        <v>364.54687500000006</v>
      </c>
      <c r="F83" s="5">
        <f t="shared" ref="F83:N83" si="25">F84+F85</f>
        <v>0</v>
      </c>
      <c r="G83" s="5">
        <f t="shared" si="25"/>
        <v>0</v>
      </c>
      <c r="H83" s="5">
        <f t="shared" si="25"/>
        <v>0</v>
      </c>
      <c r="I83" s="5">
        <f t="shared" si="25"/>
        <v>0</v>
      </c>
      <c r="J83" s="5">
        <f t="shared" si="25"/>
        <v>0</v>
      </c>
      <c r="K83" s="5">
        <f t="shared" si="25"/>
        <v>0</v>
      </c>
      <c r="L83" s="5">
        <f t="shared" si="25"/>
        <v>0</v>
      </c>
      <c r="M83" s="5">
        <f>M84+M85</f>
        <v>1184.0139999999999</v>
      </c>
      <c r="N83" s="5">
        <f t="shared" si="25"/>
        <v>638.56633500000009</v>
      </c>
      <c r="O83" s="4">
        <f t="shared" si="20"/>
        <v>274.01946000000004</v>
      </c>
      <c r="P83" s="16">
        <f t="shared" si="21"/>
        <v>75.167140028288543</v>
      </c>
      <c r="Q83" s="20"/>
    </row>
    <row r="84" spans="1:18">
      <c r="A84" s="19" t="s">
        <v>128</v>
      </c>
      <c r="B84" s="26" t="s">
        <v>64</v>
      </c>
      <c r="C84" s="8" t="s">
        <v>21</v>
      </c>
      <c r="D84" s="5">
        <f>D82*4.5%</f>
        <v>397.6875</v>
      </c>
      <c r="E84" s="5">
        <f t="shared" si="22"/>
        <v>165.703125</v>
      </c>
      <c r="F84" s="5"/>
      <c r="G84" s="5"/>
      <c r="H84" s="5"/>
      <c r="I84" s="5"/>
      <c r="J84" s="5"/>
      <c r="K84" s="5"/>
      <c r="L84" s="5"/>
      <c r="M84" s="5">
        <f>416.392</f>
        <v>416.392</v>
      </c>
      <c r="N84" s="5">
        <f>N82*4.5%</f>
        <v>290.25742500000001</v>
      </c>
      <c r="O84" s="4">
        <f t="shared" si="20"/>
        <v>124.55430000000001</v>
      </c>
      <c r="P84" s="16">
        <f t="shared" si="21"/>
        <v>75.167140028288543</v>
      </c>
      <c r="Q84" s="20"/>
    </row>
    <row r="85" spans="1:18">
      <c r="A85" s="19" t="s">
        <v>129</v>
      </c>
      <c r="B85" s="26" t="s">
        <v>62</v>
      </c>
      <c r="C85" s="8" t="s">
        <v>21</v>
      </c>
      <c r="D85" s="5">
        <f>D82*5.4%</f>
        <v>477.22500000000008</v>
      </c>
      <c r="E85" s="5">
        <f t="shared" si="22"/>
        <v>198.84375000000003</v>
      </c>
      <c r="F85" s="5"/>
      <c r="G85" s="5"/>
      <c r="H85" s="5"/>
      <c r="I85" s="5"/>
      <c r="J85" s="5"/>
      <c r="K85" s="5"/>
      <c r="L85" s="5"/>
      <c r="M85" s="5">
        <f>767.622</f>
        <v>767.62199999999996</v>
      </c>
      <c r="N85" s="5">
        <f>N82*5.4%</f>
        <v>348.30891000000008</v>
      </c>
      <c r="O85" s="4">
        <f t="shared" si="20"/>
        <v>149.46516000000005</v>
      </c>
      <c r="P85" s="16">
        <f t="shared" si="21"/>
        <v>75.167140028288571</v>
      </c>
      <c r="Q85" s="20"/>
    </row>
    <row r="86" spans="1:18">
      <c r="A86" s="19" t="s">
        <v>130</v>
      </c>
      <c r="B86" s="20" t="s">
        <v>131</v>
      </c>
      <c r="C86" s="8" t="s">
        <v>21</v>
      </c>
      <c r="D86" s="5"/>
      <c r="E86" s="5">
        <f t="shared" si="22"/>
        <v>0</v>
      </c>
      <c r="F86" s="5"/>
      <c r="G86" s="5"/>
      <c r="H86" s="5"/>
      <c r="I86" s="5"/>
      <c r="J86" s="5"/>
      <c r="K86" s="5"/>
      <c r="L86" s="5"/>
      <c r="M86" s="5">
        <v>193.44300000000001</v>
      </c>
      <c r="N86" s="5">
        <f>N82*1.5%</f>
        <v>96.752475000000004</v>
      </c>
      <c r="O86" s="4">
        <f t="shared" si="20"/>
        <v>96.752475000000004</v>
      </c>
      <c r="P86" s="16" t="e">
        <f t="shared" si="21"/>
        <v>#DIV/0!</v>
      </c>
      <c r="Q86" s="20" t="s">
        <v>68</v>
      </c>
    </row>
    <row r="87" spans="1:18">
      <c r="A87" s="19" t="s">
        <v>132</v>
      </c>
      <c r="B87" s="20" t="s">
        <v>70</v>
      </c>
      <c r="C87" s="8"/>
      <c r="D87" s="5">
        <v>1120.1320000000001</v>
      </c>
      <c r="E87" s="5">
        <f t="shared" si="22"/>
        <v>466.72166666666669</v>
      </c>
      <c r="F87" s="5"/>
      <c r="G87" s="5"/>
      <c r="H87" s="5"/>
      <c r="I87" s="5"/>
      <c r="J87" s="5"/>
      <c r="K87" s="5"/>
      <c r="L87" s="5"/>
      <c r="M87" s="5">
        <f>904.985+21.804</f>
        <v>926.78899999999999</v>
      </c>
      <c r="N87" s="5">
        <f>M87+L87+K87+J87+I87+H87+G87+F87</f>
        <v>926.78899999999999</v>
      </c>
      <c r="O87" s="4">
        <f t="shared" si="20"/>
        <v>460.06733333333329</v>
      </c>
      <c r="P87" s="16">
        <f t="shared" si="21"/>
        <v>98.574239464634502</v>
      </c>
      <c r="Q87" s="25" t="s">
        <v>133</v>
      </c>
    </row>
    <row r="88" spans="1:18" ht="63">
      <c r="A88" s="19" t="s">
        <v>134</v>
      </c>
      <c r="B88" s="20" t="s">
        <v>135</v>
      </c>
      <c r="C88" s="8" t="s">
        <v>21</v>
      </c>
      <c r="D88" s="5">
        <v>92.125</v>
      </c>
      <c r="E88" s="5">
        <f t="shared" si="22"/>
        <v>38.385416666666664</v>
      </c>
      <c r="F88" s="5"/>
      <c r="G88" s="5"/>
      <c r="H88" s="5"/>
      <c r="I88" s="5"/>
      <c r="J88" s="5"/>
      <c r="K88" s="5"/>
      <c r="L88" s="5"/>
      <c r="M88" s="5">
        <f>43.8</f>
        <v>43.8</v>
      </c>
      <c r="N88" s="5">
        <f t="shared" ref="N88:N97" si="26">F88+G88+H88+I88+J88+K88+L88+M88</f>
        <v>43.8</v>
      </c>
      <c r="O88" s="4">
        <f t="shared" si="20"/>
        <v>5.4145833333333329</v>
      </c>
      <c r="P88" s="16">
        <f t="shared" si="21"/>
        <v>14.105834464043411</v>
      </c>
      <c r="Q88" s="20" t="s">
        <v>94</v>
      </c>
    </row>
    <row r="89" spans="1:18" ht="31.5">
      <c r="A89" s="19" t="s">
        <v>136</v>
      </c>
      <c r="B89" s="20" t="s">
        <v>137</v>
      </c>
      <c r="C89" s="8" t="s">
        <v>21</v>
      </c>
      <c r="D89" s="5">
        <v>708.90300000000002</v>
      </c>
      <c r="E89" s="5">
        <f t="shared" si="22"/>
        <v>295.37625000000003</v>
      </c>
      <c r="F89" s="5"/>
      <c r="G89" s="5"/>
      <c r="H89" s="5"/>
      <c r="I89" s="5"/>
      <c r="J89" s="5"/>
      <c r="K89" s="5"/>
      <c r="L89" s="5"/>
      <c r="M89" s="5">
        <f>6.074+13.571</f>
        <v>19.645</v>
      </c>
      <c r="N89" s="5">
        <f t="shared" si="26"/>
        <v>19.645</v>
      </c>
      <c r="O89" s="4">
        <f t="shared" si="20"/>
        <v>-275.73125000000005</v>
      </c>
      <c r="P89" s="16">
        <f t="shared" si="21"/>
        <v>-93.349160604483259</v>
      </c>
      <c r="Q89" s="20" t="s">
        <v>138</v>
      </c>
    </row>
    <row r="90" spans="1:18">
      <c r="A90" s="19" t="s">
        <v>139</v>
      </c>
      <c r="B90" s="20" t="s">
        <v>77</v>
      </c>
      <c r="C90" s="8" t="s">
        <v>21</v>
      </c>
      <c r="D90" s="5">
        <v>734.02499999999998</v>
      </c>
      <c r="E90" s="5">
        <f t="shared" si="22"/>
        <v>305.84375</v>
      </c>
      <c r="F90" s="5"/>
      <c r="G90" s="5"/>
      <c r="H90" s="5"/>
      <c r="I90" s="5"/>
      <c r="J90" s="5"/>
      <c r="K90" s="5"/>
      <c r="L90" s="5"/>
      <c r="M90" s="5">
        <f>44.775+105.857+13.133+36.316+17.831</f>
        <v>217.91200000000001</v>
      </c>
      <c r="N90" s="5">
        <f t="shared" si="26"/>
        <v>217.91200000000001</v>
      </c>
      <c r="O90" s="4">
        <f t="shared" si="20"/>
        <v>-87.931749999999994</v>
      </c>
      <c r="P90" s="16">
        <f t="shared" si="21"/>
        <v>-28.750546643506695</v>
      </c>
      <c r="Q90" s="20" t="s">
        <v>81</v>
      </c>
    </row>
    <row r="91" spans="1:18" ht="31.5">
      <c r="A91" s="19" t="s">
        <v>140</v>
      </c>
      <c r="B91" s="20" t="s">
        <v>141</v>
      </c>
      <c r="C91" s="8" t="s">
        <v>21</v>
      </c>
      <c r="D91" s="5">
        <v>376.10700000000003</v>
      </c>
      <c r="E91" s="5">
        <f t="shared" si="22"/>
        <v>156.71125000000001</v>
      </c>
      <c r="F91" s="5"/>
      <c r="G91" s="5"/>
      <c r="H91" s="5"/>
      <c r="I91" s="5"/>
      <c r="J91" s="5"/>
      <c r="K91" s="5"/>
      <c r="L91" s="5"/>
      <c r="M91" s="5"/>
      <c r="N91" s="5">
        <f t="shared" si="26"/>
        <v>0</v>
      </c>
      <c r="O91" s="4">
        <f t="shared" si="20"/>
        <v>-156.71125000000001</v>
      </c>
      <c r="P91" s="16">
        <f t="shared" si="21"/>
        <v>-100</v>
      </c>
      <c r="Q91" s="21" t="s">
        <v>25</v>
      </c>
    </row>
    <row r="92" spans="1:18">
      <c r="A92" s="19" t="s">
        <v>142</v>
      </c>
      <c r="B92" s="20" t="s">
        <v>80</v>
      </c>
      <c r="C92" s="8" t="s">
        <v>21</v>
      </c>
      <c r="D92" s="5">
        <v>71.34</v>
      </c>
      <c r="E92" s="5">
        <f t="shared" si="22"/>
        <v>29.725000000000001</v>
      </c>
      <c r="F92" s="5">
        <f>F93+F94+F95</f>
        <v>0</v>
      </c>
      <c r="G92" s="5">
        <f t="shared" ref="G92:L92" si="27">G93+G94+G95</f>
        <v>0</v>
      </c>
      <c r="H92" s="5">
        <f t="shared" si="27"/>
        <v>0</v>
      </c>
      <c r="I92" s="5">
        <f t="shared" si="27"/>
        <v>0</v>
      </c>
      <c r="J92" s="5">
        <f t="shared" si="27"/>
        <v>0</v>
      </c>
      <c r="K92" s="5">
        <f t="shared" si="27"/>
        <v>0</v>
      </c>
      <c r="L92" s="5">
        <f t="shared" si="27"/>
        <v>0</v>
      </c>
      <c r="M92" s="5">
        <f>M93+M94+M95</f>
        <v>704.11699999999996</v>
      </c>
      <c r="N92" s="5">
        <f t="shared" si="26"/>
        <v>704.11699999999996</v>
      </c>
      <c r="O92" s="4">
        <f t="shared" si="20"/>
        <v>674.39199999999994</v>
      </c>
      <c r="P92" s="16">
        <f t="shared" si="21"/>
        <v>2268.7703952901597</v>
      </c>
      <c r="Q92" s="27"/>
    </row>
    <row r="93" spans="1:18">
      <c r="A93" s="19" t="s">
        <v>143</v>
      </c>
      <c r="B93" s="26" t="s">
        <v>83</v>
      </c>
      <c r="C93" s="8" t="s">
        <v>21</v>
      </c>
      <c r="D93" s="5"/>
      <c r="E93" s="5">
        <f t="shared" si="22"/>
        <v>0</v>
      </c>
      <c r="F93" s="5"/>
      <c r="G93" s="5"/>
      <c r="H93" s="5"/>
      <c r="I93" s="5"/>
      <c r="J93" s="5"/>
      <c r="K93" s="5"/>
      <c r="L93" s="5"/>
      <c r="M93" s="5">
        <f>2+12.887</f>
        <v>14.887</v>
      </c>
      <c r="N93" s="5">
        <f t="shared" si="26"/>
        <v>14.887</v>
      </c>
      <c r="O93" s="4">
        <f t="shared" si="20"/>
        <v>14.887</v>
      </c>
      <c r="P93" s="16" t="e">
        <f t="shared" si="21"/>
        <v>#DIV/0!</v>
      </c>
      <c r="Q93" s="27" t="s">
        <v>81</v>
      </c>
    </row>
    <row r="94" spans="1:18">
      <c r="A94" s="19" t="s">
        <v>144</v>
      </c>
      <c r="B94" s="26" t="s">
        <v>85</v>
      </c>
      <c r="C94" s="8" t="s">
        <v>21</v>
      </c>
      <c r="D94" s="5"/>
      <c r="E94" s="5">
        <f t="shared" si="22"/>
        <v>0</v>
      </c>
      <c r="F94" s="5"/>
      <c r="G94" s="5"/>
      <c r="H94" s="5"/>
      <c r="I94" s="5"/>
      <c r="J94" s="5"/>
      <c r="K94" s="5"/>
      <c r="L94" s="5"/>
      <c r="M94" s="5">
        <v>280</v>
      </c>
      <c r="N94" s="5">
        <f t="shared" si="26"/>
        <v>280</v>
      </c>
      <c r="O94" s="4">
        <f t="shared" si="20"/>
        <v>280</v>
      </c>
      <c r="P94" s="16" t="e">
        <f t="shared" si="21"/>
        <v>#DIV/0!</v>
      </c>
      <c r="Q94" s="27" t="s">
        <v>81</v>
      </c>
    </row>
    <row r="95" spans="1:18">
      <c r="A95" s="19" t="s">
        <v>145</v>
      </c>
      <c r="B95" s="26" t="s">
        <v>87</v>
      </c>
      <c r="C95" s="8" t="s">
        <v>21</v>
      </c>
      <c r="D95" s="5"/>
      <c r="E95" s="5">
        <f t="shared" si="22"/>
        <v>0</v>
      </c>
      <c r="F95" s="5"/>
      <c r="G95" s="5"/>
      <c r="H95" s="5"/>
      <c r="I95" s="5"/>
      <c r="J95" s="5"/>
      <c r="K95" s="5"/>
      <c r="L95" s="5"/>
      <c r="M95" s="5">
        <f>76.96+269.36+62.91</f>
        <v>409.23</v>
      </c>
      <c r="N95" s="5">
        <f t="shared" si="26"/>
        <v>409.23</v>
      </c>
      <c r="O95" s="4">
        <f t="shared" si="20"/>
        <v>409.23</v>
      </c>
      <c r="P95" s="16" t="e">
        <f t="shared" si="21"/>
        <v>#DIV/0!</v>
      </c>
      <c r="Q95" s="27" t="s">
        <v>81</v>
      </c>
    </row>
    <row r="96" spans="1:18">
      <c r="A96" s="19" t="s">
        <v>142</v>
      </c>
      <c r="B96" s="20" t="s">
        <v>146</v>
      </c>
      <c r="C96" s="8" t="s">
        <v>21</v>
      </c>
      <c r="D96" s="5">
        <v>637.9</v>
      </c>
      <c r="E96" s="5">
        <f t="shared" si="22"/>
        <v>265.79166666666663</v>
      </c>
      <c r="F96" s="5"/>
      <c r="G96" s="5"/>
      <c r="H96" s="5"/>
      <c r="I96" s="5"/>
      <c r="J96" s="5"/>
      <c r="K96" s="5"/>
      <c r="L96" s="5"/>
      <c r="M96" s="5"/>
      <c r="N96" s="5">
        <f t="shared" si="26"/>
        <v>0</v>
      </c>
      <c r="O96" s="4">
        <f t="shared" si="20"/>
        <v>-265.79166666666663</v>
      </c>
      <c r="P96" s="16">
        <f t="shared" si="21"/>
        <v>-100</v>
      </c>
      <c r="Q96" s="20" t="s">
        <v>81</v>
      </c>
    </row>
    <row r="97" spans="1:17" ht="31.5">
      <c r="A97" s="19" t="s">
        <v>147</v>
      </c>
      <c r="B97" s="20" t="s">
        <v>30</v>
      </c>
      <c r="C97" s="8" t="s">
        <v>21</v>
      </c>
      <c r="D97" s="5">
        <v>567.226</v>
      </c>
      <c r="E97" s="5">
        <f t="shared" si="22"/>
        <v>236.34416666666667</v>
      </c>
      <c r="F97" s="5"/>
      <c r="G97" s="5"/>
      <c r="H97" s="5"/>
      <c r="I97" s="5"/>
      <c r="J97" s="5"/>
      <c r="K97" s="5"/>
      <c r="L97" s="5"/>
      <c r="M97" s="5"/>
      <c r="N97" s="5">
        <f t="shared" si="26"/>
        <v>0</v>
      </c>
      <c r="O97" s="4">
        <f t="shared" si="20"/>
        <v>-236.34416666666667</v>
      </c>
      <c r="P97" s="16">
        <f t="shared" si="21"/>
        <v>-100</v>
      </c>
      <c r="Q97" s="20" t="s">
        <v>148</v>
      </c>
    </row>
    <row r="98" spans="1:17" ht="31.5">
      <c r="A98" s="19" t="s">
        <v>149</v>
      </c>
      <c r="B98" s="20" t="s">
        <v>150</v>
      </c>
      <c r="C98" s="8" t="s">
        <v>21</v>
      </c>
      <c r="D98" s="5">
        <f t="shared" ref="D98:N98" si="28">D99+D100+D101+D102+D103</f>
        <v>7080.0740000000005</v>
      </c>
      <c r="E98" s="5">
        <f t="shared" si="22"/>
        <v>2950.0308333333332</v>
      </c>
      <c r="F98" s="5">
        <f t="shared" si="28"/>
        <v>29.969000000000001</v>
      </c>
      <c r="G98" s="5">
        <f t="shared" si="28"/>
        <v>1332.7560000000001</v>
      </c>
      <c r="H98" s="5">
        <f t="shared" si="28"/>
        <v>2713.2219999999998</v>
      </c>
      <c r="I98" s="5">
        <f t="shared" si="28"/>
        <v>0</v>
      </c>
      <c r="J98" s="5">
        <f t="shared" si="28"/>
        <v>0</v>
      </c>
      <c r="K98" s="5">
        <f t="shared" si="28"/>
        <v>0</v>
      </c>
      <c r="L98" s="5">
        <f t="shared" si="28"/>
        <v>0</v>
      </c>
      <c r="M98" s="5">
        <f>M99+M100+M101+M102+M103</f>
        <v>0</v>
      </c>
      <c r="N98" s="5">
        <f t="shared" si="28"/>
        <v>4075.9469999999997</v>
      </c>
      <c r="O98" s="4">
        <f t="shared" si="20"/>
        <v>1125.9161666666664</v>
      </c>
      <c r="P98" s="16">
        <f t="shared" si="21"/>
        <v>38.166250804723234</v>
      </c>
      <c r="Q98" s="20" t="s">
        <v>151</v>
      </c>
    </row>
    <row r="99" spans="1:17">
      <c r="A99" s="19" t="s">
        <v>152</v>
      </c>
      <c r="B99" s="20" t="s">
        <v>153</v>
      </c>
      <c r="C99" s="8" t="s">
        <v>21</v>
      </c>
      <c r="D99" s="5">
        <v>5327.3850000000002</v>
      </c>
      <c r="E99" s="5">
        <f t="shared" si="22"/>
        <v>2219.7437500000001</v>
      </c>
      <c r="F99" s="5">
        <v>19.149000000000001</v>
      </c>
      <c r="G99" s="5">
        <v>8.8659999999999997</v>
      </c>
      <c r="H99" s="5">
        <v>2607.7179999999998</v>
      </c>
      <c r="I99" s="5"/>
      <c r="J99" s="5"/>
      <c r="K99" s="5"/>
      <c r="L99" s="5"/>
      <c r="M99" s="5"/>
      <c r="N99" s="5">
        <f>F99+G99+H99+I99+J99+K99+L99+M99</f>
        <v>2635.7329999999997</v>
      </c>
      <c r="O99" s="4">
        <f t="shared" si="20"/>
        <v>415.98924999999963</v>
      </c>
      <c r="P99" s="16">
        <f t="shared" si="21"/>
        <v>18.740417672084874</v>
      </c>
      <c r="Q99" s="20"/>
    </row>
    <row r="100" spans="1:17">
      <c r="A100" s="19" t="s">
        <v>154</v>
      </c>
      <c r="B100" s="20" t="s">
        <v>155</v>
      </c>
      <c r="C100" s="8" t="s">
        <v>21</v>
      </c>
      <c r="D100" s="5">
        <v>1591.259</v>
      </c>
      <c r="E100" s="5">
        <f t="shared" si="22"/>
        <v>663.02458333333334</v>
      </c>
      <c r="F100" s="5">
        <v>10.82</v>
      </c>
      <c r="G100" s="5">
        <v>1323.89</v>
      </c>
      <c r="H100" s="5">
        <v>105.504</v>
      </c>
      <c r="I100" s="5"/>
      <c r="J100" s="5"/>
      <c r="K100" s="5"/>
      <c r="L100" s="5"/>
      <c r="M100" s="5"/>
      <c r="N100" s="5">
        <f>F100+G100+H100+I100+J100+K100+L100+M100</f>
        <v>1440.2139999999999</v>
      </c>
      <c r="O100" s="4">
        <f t="shared" si="20"/>
        <v>777.1894166666666</v>
      </c>
      <c r="P100" s="16">
        <f t="shared" si="21"/>
        <v>117.21879342080706</v>
      </c>
      <c r="Q100" s="20"/>
    </row>
    <row r="101" spans="1:17">
      <c r="A101" s="19" t="s">
        <v>156</v>
      </c>
      <c r="B101" s="20" t="s">
        <v>157</v>
      </c>
      <c r="C101" s="8" t="s">
        <v>21</v>
      </c>
      <c r="D101" s="5">
        <v>139.6</v>
      </c>
      <c r="E101" s="5">
        <f t="shared" si="22"/>
        <v>58.166666666666664</v>
      </c>
      <c r="F101" s="5"/>
      <c r="G101" s="5"/>
      <c r="H101" s="5"/>
      <c r="I101" s="5"/>
      <c r="J101" s="5"/>
      <c r="K101" s="5"/>
      <c r="L101" s="5"/>
      <c r="M101" s="5"/>
      <c r="N101" s="5">
        <f>F101+G101+H101+I101+J101+K101+L101+M101</f>
        <v>0</v>
      </c>
      <c r="O101" s="4">
        <f t="shared" si="20"/>
        <v>-58.166666666666664</v>
      </c>
      <c r="P101" s="16">
        <f t="shared" si="21"/>
        <v>-100</v>
      </c>
      <c r="Q101" s="20"/>
    </row>
    <row r="102" spans="1:17" ht="31.5">
      <c r="A102" s="19" t="s">
        <v>158</v>
      </c>
      <c r="B102" s="20" t="s">
        <v>159</v>
      </c>
      <c r="C102" s="8" t="s">
        <v>21</v>
      </c>
      <c r="D102" s="5">
        <v>21.83</v>
      </c>
      <c r="E102" s="5">
        <f t="shared" si="22"/>
        <v>9.0958333333333332</v>
      </c>
      <c r="F102" s="5"/>
      <c r="G102" s="5"/>
      <c r="H102" s="5"/>
      <c r="I102" s="5"/>
      <c r="J102" s="5"/>
      <c r="K102" s="5"/>
      <c r="L102" s="5"/>
      <c r="M102" s="5"/>
      <c r="N102" s="5">
        <f>F102+G102+H102+I102+J102+K102+L102+M102</f>
        <v>0</v>
      </c>
      <c r="O102" s="4">
        <f t="shared" si="20"/>
        <v>-9.0958333333333332</v>
      </c>
      <c r="P102" s="16">
        <f t="shared" si="21"/>
        <v>-100</v>
      </c>
      <c r="Q102" s="20"/>
    </row>
    <row r="103" spans="1:17">
      <c r="A103" s="19" t="s">
        <v>160</v>
      </c>
      <c r="B103" s="20" t="s">
        <v>161</v>
      </c>
      <c r="C103" s="8" t="s">
        <v>21</v>
      </c>
      <c r="D103" s="5"/>
      <c r="E103" s="5">
        <f t="shared" si="22"/>
        <v>0</v>
      </c>
      <c r="F103" s="5"/>
      <c r="G103" s="5"/>
      <c r="H103" s="5"/>
      <c r="I103" s="5"/>
      <c r="J103" s="5"/>
      <c r="K103" s="5"/>
      <c r="L103" s="5"/>
      <c r="M103" s="5"/>
      <c r="N103" s="5">
        <f>M103+L103+K103+J103+I103+H103+G103+F103</f>
        <v>0</v>
      </c>
      <c r="O103" s="4">
        <f t="shared" si="20"/>
        <v>0</v>
      </c>
      <c r="P103" s="16" t="e">
        <f t="shared" si="21"/>
        <v>#DIV/0!</v>
      </c>
      <c r="Q103" s="20" t="s">
        <v>68</v>
      </c>
    </row>
    <row r="104" spans="1:17">
      <c r="A104" s="19" t="s">
        <v>162</v>
      </c>
      <c r="B104" s="20" t="s">
        <v>163</v>
      </c>
      <c r="C104" s="8" t="s">
        <v>21</v>
      </c>
      <c r="D104" s="5">
        <f>D105+D106+D107+D108+D109+D110+D111+D112+D113+D114</f>
        <v>714.07299999999998</v>
      </c>
      <c r="E104" s="5">
        <f t="shared" si="22"/>
        <v>297.53041666666667</v>
      </c>
      <c r="F104" s="5">
        <f t="shared" ref="F104:M104" si="29">F105+F106+F107+F108+F109+F110+F111+F112+F113+F114+F115+F116+F117</f>
        <v>0</v>
      </c>
      <c r="G104" s="5">
        <f t="shared" si="29"/>
        <v>0</v>
      </c>
      <c r="H104" s="5">
        <f t="shared" si="29"/>
        <v>0</v>
      </c>
      <c r="I104" s="5">
        <f t="shared" si="29"/>
        <v>0</v>
      </c>
      <c r="J104" s="5">
        <f t="shared" si="29"/>
        <v>0</v>
      </c>
      <c r="K104" s="5">
        <f t="shared" si="29"/>
        <v>0</v>
      </c>
      <c r="L104" s="5">
        <f t="shared" si="29"/>
        <v>0</v>
      </c>
      <c r="M104" s="5">
        <f t="shared" si="29"/>
        <v>4063.6730000000002</v>
      </c>
      <c r="N104" s="5">
        <f>N105+N106+N107+N108+N109+N110+N111+N112+N113+N114+N115+N116+N117</f>
        <v>155.16899999999998</v>
      </c>
      <c r="O104" s="4">
        <f t="shared" si="20"/>
        <v>-142.36141666666668</v>
      </c>
      <c r="P104" s="16">
        <f t="shared" si="21"/>
        <v>-47.8476850406051</v>
      </c>
      <c r="Q104" s="20"/>
    </row>
    <row r="105" spans="1:17" ht="31.5">
      <c r="A105" s="19" t="s">
        <v>164</v>
      </c>
      <c r="B105" s="20" t="s">
        <v>165</v>
      </c>
      <c r="C105" s="8" t="s">
        <v>21</v>
      </c>
      <c r="D105" s="5">
        <v>53.805</v>
      </c>
      <c r="E105" s="5">
        <f t="shared" si="22"/>
        <v>22.418749999999999</v>
      </c>
      <c r="F105" s="5"/>
      <c r="G105" s="5"/>
      <c r="H105" s="5"/>
      <c r="I105" s="5"/>
      <c r="J105" s="5"/>
      <c r="K105" s="5"/>
      <c r="L105" s="5"/>
      <c r="M105" s="5"/>
      <c r="N105" s="5">
        <f t="shared" ref="N105:N113" si="30">M105+L105+K105+J105+I105+H105+G105+F105</f>
        <v>0</v>
      </c>
      <c r="O105" s="4">
        <f t="shared" si="20"/>
        <v>-22.418749999999999</v>
      </c>
      <c r="P105" s="16">
        <f t="shared" si="21"/>
        <v>-100</v>
      </c>
      <c r="Q105" s="20" t="s">
        <v>94</v>
      </c>
    </row>
    <row r="106" spans="1:17">
      <c r="A106" s="19" t="s">
        <v>166</v>
      </c>
      <c r="B106" s="20" t="s">
        <v>167</v>
      </c>
      <c r="C106" s="8" t="s">
        <v>21</v>
      </c>
      <c r="D106" s="5">
        <v>0</v>
      </c>
      <c r="E106" s="5">
        <f t="shared" si="22"/>
        <v>0</v>
      </c>
      <c r="F106" s="5"/>
      <c r="G106" s="5"/>
      <c r="H106" s="5"/>
      <c r="I106" s="5"/>
      <c r="J106" s="5"/>
      <c r="K106" s="5"/>
      <c r="L106" s="5"/>
      <c r="M106" s="5"/>
      <c r="N106" s="5">
        <v>0</v>
      </c>
      <c r="O106" s="4">
        <f t="shared" si="20"/>
        <v>0</v>
      </c>
      <c r="P106" s="16" t="e">
        <f t="shared" si="21"/>
        <v>#DIV/0!</v>
      </c>
      <c r="Q106" s="20"/>
    </row>
    <row r="107" spans="1:17">
      <c r="A107" s="19" t="s">
        <v>168</v>
      </c>
      <c r="B107" s="20" t="s">
        <v>169</v>
      </c>
      <c r="C107" s="8" t="s">
        <v>21</v>
      </c>
      <c r="D107" s="5">
        <v>19.975000000000001</v>
      </c>
      <c r="E107" s="5">
        <f t="shared" si="22"/>
        <v>8.3229166666666679</v>
      </c>
      <c r="F107" s="5"/>
      <c r="G107" s="5"/>
      <c r="H107" s="5"/>
      <c r="I107" s="5"/>
      <c r="J107" s="5"/>
      <c r="K107" s="5"/>
      <c r="L107" s="5"/>
      <c r="M107" s="5"/>
      <c r="N107" s="5">
        <f t="shared" si="30"/>
        <v>0</v>
      </c>
      <c r="O107" s="4">
        <f t="shared" si="20"/>
        <v>-8.3229166666666679</v>
      </c>
      <c r="P107" s="16">
        <f t="shared" si="21"/>
        <v>-100</v>
      </c>
      <c r="Q107" s="41" t="s">
        <v>81</v>
      </c>
    </row>
    <row r="108" spans="1:17">
      <c r="A108" s="19" t="s">
        <v>170</v>
      </c>
      <c r="B108" s="20" t="s">
        <v>171</v>
      </c>
      <c r="C108" s="8" t="s">
        <v>21</v>
      </c>
      <c r="D108" s="5">
        <v>310.47899999999998</v>
      </c>
      <c r="E108" s="5">
        <f t="shared" si="22"/>
        <v>129.36624999999998</v>
      </c>
      <c r="F108" s="5"/>
      <c r="G108" s="5"/>
      <c r="H108" s="5"/>
      <c r="I108" s="5"/>
      <c r="J108" s="5"/>
      <c r="K108" s="5"/>
      <c r="L108" s="5"/>
      <c r="M108" s="5"/>
      <c r="N108" s="5">
        <f t="shared" si="30"/>
        <v>0</v>
      </c>
      <c r="O108" s="4">
        <f t="shared" si="20"/>
        <v>-129.36624999999998</v>
      </c>
      <c r="P108" s="16">
        <f t="shared" si="21"/>
        <v>-100</v>
      </c>
      <c r="Q108" s="42"/>
    </row>
    <row r="109" spans="1:17">
      <c r="A109" s="19" t="s">
        <v>172</v>
      </c>
      <c r="B109" s="20" t="s">
        <v>173</v>
      </c>
      <c r="C109" s="8" t="s">
        <v>21</v>
      </c>
      <c r="D109" s="5">
        <v>23.7</v>
      </c>
      <c r="E109" s="5">
        <f t="shared" si="22"/>
        <v>9.875</v>
      </c>
      <c r="F109" s="5"/>
      <c r="G109" s="5"/>
      <c r="H109" s="5"/>
      <c r="I109" s="5"/>
      <c r="J109" s="5"/>
      <c r="K109" s="5"/>
      <c r="L109" s="5"/>
      <c r="M109" s="5">
        <f>0.571+8.277</f>
        <v>8.847999999999999</v>
      </c>
      <c r="N109" s="5">
        <f t="shared" si="30"/>
        <v>8.847999999999999</v>
      </c>
      <c r="O109" s="4">
        <f t="shared" si="20"/>
        <v>-1.027000000000001</v>
      </c>
      <c r="P109" s="16">
        <f t="shared" si="21"/>
        <v>-10.400000000000006</v>
      </c>
      <c r="Q109" s="42"/>
    </row>
    <row r="110" spans="1:17">
      <c r="A110" s="19" t="s">
        <v>174</v>
      </c>
      <c r="B110" s="20" t="s">
        <v>175</v>
      </c>
      <c r="C110" s="8" t="s">
        <v>21</v>
      </c>
      <c r="D110" s="5">
        <v>78.213999999999999</v>
      </c>
      <c r="E110" s="5">
        <f t="shared" si="22"/>
        <v>32.589166666666664</v>
      </c>
      <c r="F110" s="5"/>
      <c r="G110" s="5"/>
      <c r="H110" s="5"/>
      <c r="I110" s="5"/>
      <c r="J110" s="5"/>
      <c r="K110" s="5"/>
      <c r="L110" s="5"/>
      <c r="M110" s="5"/>
      <c r="N110" s="5">
        <f t="shared" si="30"/>
        <v>0</v>
      </c>
      <c r="O110" s="4">
        <f t="shared" si="20"/>
        <v>-32.589166666666664</v>
      </c>
      <c r="P110" s="16">
        <f t="shared" si="21"/>
        <v>-100</v>
      </c>
      <c r="Q110" s="43"/>
    </row>
    <row r="111" spans="1:17">
      <c r="A111" s="19" t="s">
        <v>176</v>
      </c>
      <c r="B111" s="20" t="s">
        <v>220</v>
      </c>
      <c r="C111" s="8" t="s">
        <v>21</v>
      </c>
      <c r="D111" s="5">
        <v>0</v>
      </c>
      <c r="E111" s="5">
        <f t="shared" si="22"/>
        <v>0</v>
      </c>
      <c r="F111" s="5"/>
      <c r="G111" s="5"/>
      <c r="H111" s="5"/>
      <c r="I111" s="5"/>
      <c r="J111" s="5"/>
      <c r="K111" s="5"/>
      <c r="L111" s="5"/>
      <c r="M111" s="5">
        <v>6.4290000000000003</v>
      </c>
      <c r="N111" s="5">
        <f t="shared" si="30"/>
        <v>6.4290000000000003</v>
      </c>
      <c r="O111" s="4">
        <f t="shared" si="20"/>
        <v>6.4290000000000003</v>
      </c>
      <c r="P111" s="16" t="e">
        <f t="shared" si="21"/>
        <v>#DIV/0!</v>
      </c>
      <c r="Q111" s="20"/>
    </row>
    <row r="112" spans="1:17" ht="31.5">
      <c r="A112" s="19" t="s">
        <v>177</v>
      </c>
      <c r="B112" s="20" t="s">
        <v>178</v>
      </c>
      <c r="C112" s="8" t="s">
        <v>21</v>
      </c>
      <c r="D112" s="5">
        <v>16</v>
      </c>
      <c r="E112" s="5">
        <f t="shared" si="22"/>
        <v>6.6666666666666661</v>
      </c>
      <c r="F112" s="5"/>
      <c r="G112" s="5"/>
      <c r="H112" s="5"/>
      <c r="I112" s="5"/>
      <c r="J112" s="5"/>
      <c r="K112" s="5"/>
      <c r="L112" s="5"/>
      <c r="M112" s="5">
        <v>121.506</v>
      </c>
      <c r="N112" s="5">
        <f t="shared" si="30"/>
        <v>121.506</v>
      </c>
      <c r="O112" s="4">
        <f t="shared" si="20"/>
        <v>114.83933333333333</v>
      </c>
      <c r="P112" s="16">
        <f t="shared" si="21"/>
        <v>1722.5900000000004</v>
      </c>
      <c r="Q112" s="20" t="s">
        <v>179</v>
      </c>
    </row>
    <row r="113" spans="1:17" ht="31.5">
      <c r="A113" s="19" t="s">
        <v>180</v>
      </c>
      <c r="B113" s="20" t="s">
        <v>96</v>
      </c>
      <c r="C113" s="8" t="s">
        <v>21</v>
      </c>
      <c r="D113" s="5">
        <v>13.9</v>
      </c>
      <c r="E113" s="5">
        <f t="shared" si="22"/>
        <v>5.791666666666667</v>
      </c>
      <c r="F113" s="5"/>
      <c r="G113" s="5"/>
      <c r="H113" s="5"/>
      <c r="I113" s="5"/>
      <c r="J113" s="5"/>
      <c r="K113" s="5"/>
      <c r="L113" s="5"/>
      <c r="M113" s="5">
        <v>14.778</v>
      </c>
      <c r="N113" s="5">
        <f t="shared" si="30"/>
        <v>14.778</v>
      </c>
      <c r="O113" s="4">
        <f t="shared" si="20"/>
        <v>8.9863333333333344</v>
      </c>
      <c r="P113" s="16">
        <f t="shared" si="21"/>
        <v>155.15971223021583</v>
      </c>
      <c r="Q113" s="20"/>
    </row>
    <row r="114" spans="1:17" ht="31.5">
      <c r="A114" s="19" t="s">
        <v>181</v>
      </c>
      <c r="B114" s="20" t="s">
        <v>112</v>
      </c>
      <c r="C114" s="8" t="s">
        <v>21</v>
      </c>
      <c r="D114" s="5">
        <v>198</v>
      </c>
      <c r="E114" s="5">
        <f t="shared" si="22"/>
        <v>82.5</v>
      </c>
      <c r="F114" s="5"/>
      <c r="G114" s="5"/>
      <c r="H114" s="5"/>
      <c r="I114" s="5"/>
      <c r="J114" s="5"/>
      <c r="K114" s="5"/>
      <c r="L114" s="5"/>
      <c r="M114" s="5"/>
      <c r="N114" s="5">
        <f>M114+L114+K114+J114+I114+H114+G114+F114</f>
        <v>0</v>
      </c>
      <c r="O114" s="4">
        <f t="shared" si="20"/>
        <v>-82.5</v>
      </c>
      <c r="P114" s="16">
        <f t="shared" si="21"/>
        <v>-100</v>
      </c>
      <c r="Q114" s="20" t="s">
        <v>81</v>
      </c>
    </row>
    <row r="115" spans="1:17" hidden="1">
      <c r="A115" s="19" t="s">
        <v>214</v>
      </c>
      <c r="B115" s="20" t="s">
        <v>217</v>
      </c>
      <c r="C115" s="8" t="s">
        <v>21</v>
      </c>
      <c r="D115" s="5">
        <v>0</v>
      </c>
      <c r="E115" s="5">
        <f t="shared" si="22"/>
        <v>0</v>
      </c>
      <c r="F115" s="5"/>
      <c r="G115" s="5"/>
      <c r="H115" s="5"/>
      <c r="I115" s="5"/>
      <c r="J115" s="5"/>
      <c r="K115" s="5"/>
      <c r="L115" s="5"/>
      <c r="M115" s="5">
        <v>68.504000000000005</v>
      </c>
      <c r="N115" s="5">
        <v>0</v>
      </c>
      <c r="O115" s="4">
        <f t="shared" ref="O115:O116" si="31">N115-E115</f>
        <v>0</v>
      </c>
      <c r="P115" s="16" t="e">
        <f t="shared" si="21"/>
        <v>#DIV/0!</v>
      </c>
      <c r="Q115" s="20"/>
    </row>
    <row r="116" spans="1:17" hidden="1">
      <c r="A116" s="19" t="s">
        <v>215</v>
      </c>
      <c r="B116" s="20" t="s">
        <v>218</v>
      </c>
      <c r="C116" s="8" t="s">
        <v>21</v>
      </c>
      <c r="D116" s="5">
        <v>0</v>
      </c>
      <c r="E116" s="5">
        <f t="shared" si="22"/>
        <v>0</v>
      </c>
      <c r="F116" s="5"/>
      <c r="G116" s="5"/>
      <c r="H116" s="5"/>
      <c r="I116" s="5"/>
      <c r="J116" s="5"/>
      <c r="K116" s="5"/>
      <c r="L116" s="5"/>
      <c r="M116" s="5">
        <v>3840</v>
      </c>
      <c r="N116" s="5">
        <v>0</v>
      </c>
      <c r="O116" s="4">
        <f t="shared" si="31"/>
        <v>0</v>
      </c>
      <c r="P116" s="16" t="e">
        <f t="shared" si="21"/>
        <v>#DIV/0!</v>
      </c>
      <c r="Q116" s="20"/>
    </row>
    <row r="117" spans="1:17">
      <c r="A117" s="19" t="s">
        <v>216</v>
      </c>
      <c r="B117" s="20" t="s">
        <v>219</v>
      </c>
      <c r="C117" s="8" t="s">
        <v>21</v>
      </c>
      <c r="D117" s="5">
        <v>0</v>
      </c>
      <c r="E117" s="5">
        <f t="shared" si="22"/>
        <v>0</v>
      </c>
      <c r="F117" s="5"/>
      <c r="G117" s="5"/>
      <c r="H117" s="5"/>
      <c r="I117" s="5"/>
      <c r="J117" s="5"/>
      <c r="K117" s="5"/>
      <c r="L117" s="5"/>
      <c r="M117" s="5">
        <v>3.6080000000000001</v>
      </c>
      <c r="N117" s="5">
        <f t="shared" ref="N117" si="32">M117+L117+K117+J117+I117+H117+G117+F117</f>
        <v>3.6080000000000001</v>
      </c>
      <c r="O117" s="4">
        <f>N117-E117</f>
        <v>3.6080000000000001</v>
      </c>
      <c r="P117" s="16" t="e">
        <f t="shared" si="21"/>
        <v>#DIV/0!</v>
      </c>
      <c r="Q117" s="20"/>
    </row>
    <row r="118" spans="1:17" s="10" customFormat="1">
      <c r="A118" s="9" t="s">
        <v>182</v>
      </c>
      <c r="B118" s="15" t="s">
        <v>183</v>
      </c>
      <c r="C118" s="9" t="s">
        <v>21</v>
      </c>
      <c r="D118" s="4">
        <f>D80+D9</f>
        <v>117352.8235</v>
      </c>
      <c r="E118" s="4">
        <f t="shared" si="22"/>
        <v>48897.009791666671</v>
      </c>
      <c r="F118" s="4">
        <f t="shared" ref="F118:N118" si="33">F80+F9</f>
        <v>10246.636</v>
      </c>
      <c r="G118" s="4">
        <f t="shared" si="33"/>
        <v>9129.8209999999999</v>
      </c>
      <c r="H118" s="4">
        <f t="shared" si="33"/>
        <v>8553.7249999999985</v>
      </c>
      <c r="I118" s="4">
        <f t="shared" si="33"/>
        <v>3210.3280000000004</v>
      </c>
      <c r="J118" s="4">
        <f t="shared" si="33"/>
        <v>3503.3579999999997</v>
      </c>
      <c r="K118" s="4">
        <f t="shared" si="33"/>
        <v>3806.712</v>
      </c>
      <c r="L118" s="4">
        <f t="shared" si="33"/>
        <v>2013.9549999999999</v>
      </c>
      <c r="M118" s="4">
        <f t="shared" si="33"/>
        <v>22107.024000000001</v>
      </c>
      <c r="N118" s="4">
        <f t="shared" si="33"/>
        <v>50529.551810000004</v>
      </c>
      <c r="O118" s="4">
        <f t="shared" si="20"/>
        <v>1632.5420183333335</v>
      </c>
      <c r="P118" s="16">
        <f t="shared" si="21"/>
        <v>3.3387358967123646</v>
      </c>
      <c r="Q118" s="15"/>
    </row>
    <row r="119" spans="1:17" s="10" customFormat="1">
      <c r="A119" s="9" t="s">
        <v>184</v>
      </c>
      <c r="B119" s="15" t="s">
        <v>185</v>
      </c>
      <c r="C119" s="9" t="s">
        <v>21</v>
      </c>
      <c r="D119" s="4">
        <v>1158.797</v>
      </c>
      <c r="E119" s="4">
        <f t="shared" si="22"/>
        <v>482.83208333333334</v>
      </c>
      <c r="F119" s="4"/>
      <c r="G119" s="4"/>
      <c r="H119" s="4"/>
      <c r="I119" s="4"/>
      <c r="J119" s="4"/>
      <c r="K119" s="4"/>
      <c r="L119" s="4"/>
      <c r="M119" s="4"/>
      <c r="N119" s="4">
        <f>N120-N118</f>
        <v>-5222.0508100000079</v>
      </c>
      <c r="O119" s="4">
        <f t="shared" si="20"/>
        <v>-5704.8828933333416</v>
      </c>
      <c r="P119" s="16">
        <f t="shared" si="21"/>
        <v>-1181.5459432497685</v>
      </c>
      <c r="Q119" s="15"/>
    </row>
    <row r="120" spans="1:17" s="10" customFormat="1">
      <c r="A120" s="9" t="s">
        <v>186</v>
      </c>
      <c r="B120" s="15" t="s">
        <v>187</v>
      </c>
      <c r="C120" s="9" t="s">
        <v>21</v>
      </c>
      <c r="D120" s="4">
        <v>118532.92</v>
      </c>
      <c r="E120" s="4">
        <f t="shared" si="22"/>
        <v>49388.716666666667</v>
      </c>
      <c r="F120" s="4"/>
      <c r="G120" s="4"/>
      <c r="H120" s="4"/>
      <c r="I120" s="4"/>
      <c r="J120" s="4"/>
      <c r="K120" s="4"/>
      <c r="L120" s="4"/>
      <c r="M120" s="4"/>
      <c r="N120" s="4">
        <f>N122</f>
        <v>45307.500999999997</v>
      </c>
      <c r="O120" s="4">
        <f t="shared" si="20"/>
        <v>-4081.2156666666706</v>
      </c>
      <c r="P120" s="16">
        <f t="shared" si="21"/>
        <v>-8.2634576116069667</v>
      </c>
      <c r="Q120" s="15"/>
    </row>
    <row r="121" spans="1:17" s="10" customFormat="1">
      <c r="A121" s="44" t="s">
        <v>188</v>
      </c>
      <c r="B121" s="46" t="s">
        <v>189</v>
      </c>
      <c r="C121" s="9" t="s">
        <v>190</v>
      </c>
      <c r="D121" s="4">
        <v>110304.626</v>
      </c>
      <c r="E121" s="4">
        <f t="shared" si="22"/>
        <v>45960.260833333334</v>
      </c>
      <c r="F121" s="4"/>
      <c r="G121" s="4"/>
      <c r="H121" s="4"/>
      <c r="I121" s="4"/>
      <c r="J121" s="4"/>
      <c r="K121" s="4"/>
      <c r="L121" s="4"/>
      <c r="M121" s="4"/>
      <c r="N121" s="34">
        <v>42146.512999999999</v>
      </c>
      <c r="O121" s="4">
        <f t="shared" si="20"/>
        <v>-3813.7478333333347</v>
      </c>
      <c r="P121" s="16">
        <f t="shared" si="21"/>
        <v>-8.2979246944729255</v>
      </c>
      <c r="Q121" s="15"/>
    </row>
    <row r="122" spans="1:17" s="10" customFormat="1">
      <c r="A122" s="45"/>
      <c r="B122" s="47"/>
      <c r="C122" s="9" t="s">
        <v>21</v>
      </c>
      <c r="D122" s="4">
        <v>118532.92</v>
      </c>
      <c r="E122" s="4">
        <f t="shared" si="22"/>
        <v>49388.716666666667</v>
      </c>
      <c r="F122" s="4"/>
      <c r="G122" s="4"/>
      <c r="H122" s="4"/>
      <c r="I122" s="4"/>
      <c r="J122" s="4"/>
      <c r="K122" s="4"/>
      <c r="L122" s="4"/>
      <c r="M122" s="4"/>
      <c r="N122" s="34">
        <v>45307.500999999997</v>
      </c>
      <c r="O122" s="4">
        <f t="shared" si="20"/>
        <v>-4081.2156666666706</v>
      </c>
      <c r="P122" s="16">
        <f t="shared" si="21"/>
        <v>-8.2634576116069667</v>
      </c>
      <c r="Q122" s="15"/>
    </row>
    <row r="123" spans="1:17" s="10" customFormat="1">
      <c r="A123" s="9" t="s">
        <v>191</v>
      </c>
      <c r="B123" s="15" t="s">
        <v>192</v>
      </c>
      <c r="C123" s="9" t="s">
        <v>38</v>
      </c>
      <c r="D123" s="28">
        <v>1.08</v>
      </c>
      <c r="E123" s="4">
        <v>1.08</v>
      </c>
      <c r="F123" s="4"/>
      <c r="G123" s="4"/>
      <c r="H123" s="4"/>
      <c r="I123" s="4"/>
      <c r="J123" s="4"/>
      <c r="K123" s="4"/>
      <c r="L123" s="4"/>
      <c r="M123" s="4"/>
      <c r="N123" s="28">
        <v>1.075</v>
      </c>
      <c r="O123" s="4">
        <f t="shared" si="20"/>
        <v>-5.0000000000001155E-3</v>
      </c>
      <c r="P123" s="16"/>
      <c r="Q123" s="15"/>
    </row>
    <row r="124" spans="1:17">
      <c r="A124" s="8"/>
      <c r="B124" s="20" t="s">
        <v>193</v>
      </c>
      <c r="C124" s="8"/>
      <c r="D124" s="8"/>
      <c r="E124" s="4"/>
      <c r="F124" s="8"/>
      <c r="G124" s="8"/>
      <c r="H124" s="8"/>
      <c r="I124" s="8"/>
      <c r="J124" s="8"/>
      <c r="K124" s="8"/>
      <c r="L124" s="8"/>
      <c r="M124" s="8"/>
      <c r="N124" s="8"/>
      <c r="O124" s="4">
        <f t="shared" si="20"/>
        <v>0</v>
      </c>
      <c r="P124" s="16"/>
      <c r="Q124" s="20"/>
    </row>
    <row r="125" spans="1:17" ht="31.5">
      <c r="A125" s="8">
        <v>7</v>
      </c>
      <c r="B125" s="20" t="s">
        <v>194</v>
      </c>
      <c r="C125" s="8" t="s">
        <v>195</v>
      </c>
      <c r="D125" s="9">
        <f>D126+D127</f>
        <v>72</v>
      </c>
      <c r="E125" s="9">
        <f>E126+E127</f>
        <v>72</v>
      </c>
      <c r="F125" s="9">
        <f t="shared" ref="F125:L125" si="34">F126+F127</f>
        <v>0</v>
      </c>
      <c r="G125" s="9">
        <f t="shared" si="34"/>
        <v>0</v>
      </c>
      <c r="H125" s="9">
        <f t="shared" si="34"/>
        <v>0</v>
      </c>
      <c r="I125" s="9">
        <f t="shared" si="34"/>
        <v>0</v>
      </c>
      <c r="J125" s="9">
        <f t="shared" si="34"/>
        <v>0</v>
      </c>
      <c r="K125" s="9">
        <f t="shared" si="34"/>
        <v>0</v>
      </c>
      <c r="L125" s="9">
        <f t="shared" si="34"/>
        <v>0</v>
      </c>
      <c r="M125" s="9">
        <f>M126+M127</f>
        <v>0</v>
      </c>
      <c r="N125" s="9">
        <f>N126+N127</f>
        <v>58</v>
      </c>
      <c r="O125" s="4">
        <f t="shared" si="20"/>
        <v>-14</v>
      </c>
      <c r="P125" s="16"/>
      <c r="Q125" s="20"/>
    </row>
    <row r="126" spans="1:17">
      <c r="A126" s="19" t="s">
        <v>196</v>
      </c>
      <c r="B126" s="20" t="s">
        <v>197</v>
      </c>
      <c r="C126" s="8" t="s">
        <v>195</v>
      </c>
      <c r="D126" s="6">
        <v>65</v>
      </c>
      <c r="E126" s="6">
        <v>65</v>
      </c>
      <c r="F126" s="8"/>
      <c r="G126" s="8"/>
      <c r="H126" s="8"/>
      <c r="I126" s="8"/>
      <c r="J126" s="8"/>
      <c r="K126" s="8"/>
      <c r="L126" s="8"/>
      <c r="M126" s="8"/>
      <c r="N126" s="8">
        <v>51</v>
      </c>
      <c r="O126" s="4">
        <f t="shared" si="20"/>
        <v>-14</v>
      </c>
      <c r="P126" s="16"/>
      <c r="Q126" s="20"/>
    </row>
    <row r="127" spans="1:17">
      <c r="A127" s="19" t="s">
        <v>198</v>
      </c>
      <c r="B127" s="20" t="s">
        <v>199</v>
      </c>
      <c r="C127" s="8" t="s">
        <v>195</v>
      </c>
      <c r="D127" s="6">
        <v>7</v>
      </c>
      <c r="E127" s="6">
        <v>7</v>
      </c>
      <c r="F127" s="8"/>
      <c r="G127" s="8"/>
      <c r="H127" s="8"/>
      <c r="I127" s="8"/>
      <c r="J127" s="8"/>
      <c r="K127" s="8"/>
      <c r="L127" s="8"/>
      <c r="M127" s="8"/>
      <c r="N127" s="8">
        <v>7</v>
      </c>
      <c r="O127" s="4">
        <f t="shared" si="20"/>
        <v>0</v>
      </c>
      <c r="P127" s="16"/>
      <c r="Q127" s="20"/>
    </row>
    <row r="128" spans="1:17" ht="31.5">
      <c r="A128" s="19" t="s">
        <v>200</v>
      </c>
      <c r="B128" s="20" t="s">
        <v>201</v>
      </c>
      <c r="C128" s="8" t="s">
        <v>38</v>
      </c>
      <c r="D128" s="6">
        <v>74959</v>
      </c>
      <c r="E128" s="6">
        <v>74959</v>
      </c>
      <c r="F128" s="6">
        <v>74959</v>
      </c>
      <c r="G128" s="6">
        <v>74959</v>
      </c>
      <c r="H128" s="6">
        <v>74959</v>
      </c>
      <c r="I128" s="6">
        <v>74959</v>
      </c>
      <c r="J128" s="6">
        <v>74959</v>
      </c>
      <c r="K128" s="6">
        <v>74959</v>
      </c>
      <c r="L128" s="6">
        <v>74959</v>
      </c>
      <c r="M128" s="6">
        <v>74959</v>
      </c>
      <c r="N128" s="6">
        <f>(N129+N130)/2</f>
        <v>134307.29271708685</v>
      </c>
      <c r="O128" s="4">
        <f t="shared" si="20"/>
        <v>59348.29271708685</v>
      </c>
      <c r="P128" s="16"/>
      <c r="Q128" s="20"/>
    </row>
    <row r="129" spans="1:17">
      <c r="A129" s="19" t="s">
        <v>202</v>
      </c>
      <c r="B129" s="20" t="s">
        <v>197</v>
      </c>
      <c r="C129" s="8" t="s">
        <v>38</v>
      </c>
      <c r="D129" s="6">
        <v>71819</v>
      </c>
      <c r="E129" s="6">
        <v>71819</v>
      </c>
      <c r="F129" s="8"/>
      <c r="G129" s="8"/>
      <c r="H129" s="8"/>
      <c r="I129" s="8"/>
      <c r="J129" s="8"/>
      <c r="K129" s="8"/>
      <c r="L129" s="8"/>
      <c r="M129" s="8"/>
      <c r="N129" s="6">
        <f>N53/N126/5*1000</f>
        <v>84324.156862745105</v>
      </c>
      <c r="O129" s="4">
        <f t="shared" si="20"/>
        <v>12505.156862745105</v>
      </c>
      <c r="P129" s="16"/>
      <c r="Q129" s="20"/>
    </row>
    <row r="130" spans="1:17">
      <c r="A130" s="19" t="s">
        <v>203</v>
      </c>
      <c r="B130" s="20" t="s">
        <v>199</v>
      </c>
      <c r="C130" s="8" t="s">
        <v>38</v>
      </c>
      <c r="D130" s="6">
        <v>104114</v>
      </c>
      <c r="E130" s="6">
        <v>104114</v>
      </c>
      <c r="F130" s="8"/>
      <c r="G130" s="8"/>
      <c r="H130" s="8"/>
      <c r="I130" s="8"/>
      <c r="J130" s="8"/>
      <c r="K130" s="8"/>
      <c r="L130" s="8"/>
      <c r="M130" s="8"/>
      <c r="N130" s="6">
        <f>N82/N127/5*1000</f>
        <v>184290.42857142861</v>
      </c>
      <c r="O130" s="4">
        <f t="shared" si="20"/>
        <v>80176.428571428609</v>
      </c>
      <c r="P130" s="16"/>
      <c r="Q130" s="20"/>
    </row>
    <row r="133" spans="1:17">
      <c r="A133" s="10" t="s">
        <v>204</v>
      </c>
      <c r="C133" s="10"/>
      <c r="D133" s="30"/>
      <c r="E133" s="30"/>
      <c r="F133" s="10"/>
      <c r="G133" s="10"/>
      <c r="H133" s="10" t="s">
        <v>205</v>
      </c>
      <c r="I133" s="10"/>
      <c r="O133" s="10" t="s">
        <v>205</v>
      </c>
    </row>
    <row r="134" spans="1:17">
      <c r="A134" s="10"/>
      <c r="C134" s="10"/>
      <c r="D134" s="30"/>
      <c r="E134" s="30"/>
      <c r="F134" s="10"/>
      <c r="G134" s="10"/>
      <c r="H134" s="10"/>
      <c r="I134" s="10"/>
      <c r="O134" s="10"/>
    </row>
    <row r="135" spans="1:17" hidden="1">
      <c r="A135" s="10" t="s">
        <v>206</v>
      </c>
      <c r="C135" s="10"/>
      <c r="D135" s="30"/>
      <c r="E135" s="30"/>
      <c r="F135" s="10"/>
      <c r="G135" s="10"/>
      <c r="H135" s="10" t="s">
        <v>207</v>
      </c>
      <c r="I135" s="10"/>
      <c r="O135" s="10" t="s">
        <v>207</v>
      </c>
    </row>
    <row r="136" spans="1:17" hidden="1">
      <c r="A136" s="10"/>
      <c r="C136" s="10"/>
      <c r="D136" s="30"/>
      <c r="E136" s="30"/>
      <c r="F136" s="10"/>
      <c r="G136" s="10"/>
      <c r="H136" s="10"/>
      <c r="I136" s="10"/>
      <c r="O136" s="10"/>
    </row>
    <row r="137" spans="1:17">
      <c r="A137" s="10" t="s">
        <v>210</v>
      </c>
      <c r="C137" s="10"/>
      <c r="D137" s="30"/>
      <c r="E137" s="30"/>
      <c r="F137" s="10"/>
      <c r="G137" s="10"/>
      <c r="H137" s="10" t="s">
        <v>208</v>
      </c>
      <c r="I137" s="10"/>
      <c r="O137" s="10" t="s">
        <v>211</v>
      </c>
    </row>
    <row r="142" spans="1:17">
      <c r="A142" s="35" t="s">
        <v>221</v>
      </c>
    </row>
  </sheetData>
  <mergeCells count="23">
    <mergeCell ref="L6:L7"/>
    <mergeCell ref="M6:M7"/>
    <mergeCell ref="A121:A122"/>
    <mergeCell ref="B121:B122"/>
    <mergeCell ref="A1:Q2"/>
    <mergeCell ref="A3:Q4"/>
    <mergeCell ref="A6:A7"/>
    <mergeCell ref="B6:B7"/>
    <mergeCell ref="C6:C7"/>
    <mergeCell ref="D6:D7"/>
    <mergeCell ref="F6:F7"/>
    <mergeCell ref="G6:G7"/>
    <mergeCell ref="H6:H7"/>
    <mergeCell ref="I6:I7"/>
    <mergeCell ref="Q6:Q7"/>
    <mergeCell ref="E6:E7"/>
    <mergeCell ref="J6:J7"/>
    <mergeCell ref="K6:K7"/>
    <mergeCell ref="N6:N7"/>
    <mergeCell ref="O6:P6"/>
    <mergeCell ref="Q68:Q70"/>
    <mergeCell ref="Q77:Q79"/>
    <mergeCell ref="Q107:Q110"/>
  </mergeCells>
  <pageMargins left="0" right="0" top="0" bottom="0" header="0.31496062992125984" footer="0.31496062992125984"/>
  <pageSetup paperSize="9" scale="7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АГУ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2018-06-15T06:23:02Z</dcterms:modified>
</cp:coreProperties>
</file>