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dmin\Downloads\"/>
    </mc:Choice>
  </mc:AlternateContent>
  <bookViews>
    <workbookView xWindow="0" yWindow="0" windowWidth="24000" windowHeight="9750" tabRatio="599"/>
  </bookViews>
  <sheets>
    <sheet name="Панфилов" sheetId="40" r:id="rId1"/>
    <sheet name="Каратал" sheetId="33" r:id="rId2"/>
    <sheet name="Алмалы,Ащыбулак" sheetId="3" r:id="rId3"/>
    <sheet name="Акешки" sheetId="2" r:id="rId4"/>
    <sheet name="Аксу" sheetId="34" r:id="rId5"/>
    <sheet name="Алаколь " sheetId="35" r:id="rId6"/>
    <sheet name="Коксу" sheetId="36" r:id="rId7"/>
    <sheet name="Ескельды " sheetId="39" r:id="rId8"/>
    <sheet name="Талдык" sheetId="37" r:id="rId9"/>
    <sheet name="Уйгур " sheetId="38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OLE_LINK1" localSheetId="4">Аксу!#REF!</definedName>
    <definedName name="OLE_LINK1" localSheetId="7">'Ескельды '!#REF!</definedName>
    <definedName name="_xlnm.Print_Titles" localSheetId="3">Акешки!$A:$C,Акешки!$3:$4</definedName>
    <definedName name="_xlnm.Print_Titles" localSheetId="5">'Алаколь '!$A:$C,'Алаколь '!$4:$4</definedName>
    <definedName name="_xlnm.Print_Titles" localSheetId="2">'Алмалы,Ащыбулак'!$A:$C,'Алмалы,Ащыбулак'!$3:$3</definedName>
    <definedName name="_xlnm.Print_Titles" localSheetId="1">Каратал!$A:$C,Каратал!$3:$3</definedName>
    <definedName name="_xlnm.Print_Area" localSheetId="4">Аксу!$A$1:$P$88</definedName>
    <definedName name="_xlnm.Print_Area" localSheetId="5">'Алаколь '!$A$1:$Q$87</definedName>
    <definedName name="_xlnm.Print_Area" localSheetId="2">'Алмалы,Ащыбулак'!$A$1:$J$62</definedName>
    <definedName name="_xlnm.Print_Area" localSheetId="7">'Ескельды '!$A$1:$O$68</definedName>
    <definedName name="_xlnm.Print_Area" localSheetId="1">Каратал!$A$1:$P$105</definedName>
    <definedName name="_xlnm.Print_Area" localSheetId="6">Коксу!$A$1:$J$93</definedName>
    <definedName name="_xlnm.Print_Area" localSheetId="0">Панфилов!$A$1:$Y$83</definedName>
    <definedName name="_xlnm.Print_Area" localSheetId="8">Талдык!$A$1:$O$84</definedName>
    <definedName name="_xlnm.Print_Area" localSheetId="9">'Уйгур '!$A$1:$K$74</definedName>
  </definedNames>
  <calcPr calcId="162913"/>
</workbook>
</file>

<file path=xl/calcChain.xml><?xml version="1.0" encoding="utf-8"?>
<calcChain xmlns="http://schemas.openxmlformats.org/spreadsheetml/2006/main">
  <c r="L9" i="39" l="1"/>
  <c r="H6" i="38"/>
  <c r="G6" i="38"/>
  <c r="I7" i="38"/>
  <c r="M23" i="33"/>
  <c r="L19" i="39"/>
  <c r="M20" i="34"/>
  <c r="H61" i="38"/>
  <c r="H59" i="38"/>
  <c r="H60" i="38"/>
  <c r="L71" i="37"/>
  <c r="L70" i="37"/>
  <c r="L69" i="37" s="1"/>
  <c r="L53" i="39"/>
  <c r="V67" i="40"/>
  <c r="G73" i="36"/>
  <c r="G72" i="36"/>
  <c r="G71" i="36" s="1"/>
  <c r="N69" i="35"/>
  <c r="N68" i="35"/>
  <c r="M67" i="34"/>
  <c r="M66" i="34"/>
  <c r="M65" i="34" s="1"/>
  <c r="M83" i="33"/>
  <c r="M82" i="33"/>
  <c r="V68" i="40"/>
  <c r="V66" i="40" s="1"/>
  <c r="V29" i="40"/>
  <c r="I24" i="38"/>
  <c r="I25" i="38"/>
  <c r="I26" i="38"/>
  <c r="I22" i="38"/>
  <c r="I23" i="38"/>
  <c r="W9" i="40"/>
  <c r="M81" i="33" l="1"/>
  <c r="N67" i="35"/>
  <c r="J10" i="38"/>
  <c r="J11" i="38"/>
  <c r="J13" i="38"/>
  <c r="J14" i="38"/>
  <c r="J15" i="38"/>
  <c r="J17" i="38"/>
  <c r="J19" i="38"/>
  <c r="J23" i="38"/>
  <c r="J24" i="38"/>
  <c r="J25" i="38"/>
  <c r="J26" i="38"/>
  <c r="J29" i="38"/>
  <c r="J30" i="38"/>
  <c r="J31" i="38"/>
  <c r="J33" i="38"/>
  <c r="J34" i="38"/>
  <c r="J35" i="38"/>
  <c r="J37" i="38"/>
  <c r="J38" i="38"/>
  <c r="J43" i="38"/>
  <c r="J45" i="38"/>
  <c r="J46" i="38"/>
  <c r="J9" i="38"/>
  <c r="J8" i="38"/>
  <c r="I43" i="38"/>
  <c r="I45" i="38"/>
  <c r="I46" i="38"/>
  <c r="I47" i="38"/>
  <c r="I41" i="38"/>
  <c r="I36" i="38"/>
  <c r="I37" i="38"/>
  <c r="I38" i="38"/>
  <c r="I39" i="38"/>
  <c r="I42" i="38"/>
  <c r="I8" i="38"/>
  <c r="N8" i="37"/>
  <c r="N9" i="37"/>
  <c r="N10" i="37"/>
  <c r="N11" i="37"/>
  <c r="N13" i="37"/>
  <c r="N14" i="37"/>
  <c r="N15" i="37"/>
  <c r="N17" i="37"/>
  <c r="N20" i="37"/>
  <c r="N21" i="37"/>
  <c r="N22" i="37"/>
  <c r="N25" i="37"/>
  <c r="N26" i="37"/>
  <c r="N27" i="37"/>
  <c r="N30" i="37"/>
  <c r="N31" i="37"/>
  <c r="N33" i="37"/>
  <c r="N34" i="37"/>
  <c r="N37" i="37"/>
  <c r="N38" i="37"/>
  <c r="N39" i="37"/>
  <c r="N40" i="37"/>
  <c r="N41" i="37"/>
  <c r="N42" i="37"/>
  <c r="N43" i="37"/>
  <c r="N45" i="37"/>
  <c r="N46" i="37"/>
  <c r="N47" i="37"/>
  <c r="N48" i="37"/>
  <c r="N49" i="37"/>
  <c r="N50" i="37"/>
  <c r="N7" i="37"/>
  <c r="M37" i="37"/>
  <c r="M30" i="37"/>
  <c r="M31" i="37"/>
  <c r="M32" i="37"/>
  <c r="M33" i="37"/>
  <c r="M34" i="37"/>
  <c r="M35" i="37"/>
  <c r="M29" i="37"/>
  <c r="M25" i="37"/>
  <c r="M20" i="37"/>
  <c r="M15" i="37"/>
  <c r="M16" i="37"/>
  <c r="M13" i="37"/>
  <c r="M8" i="37"/>
  <c r="M9" i="37"/>
  <c r="M7" i="37"/>
  <c r="N10" i="39"/>
  <c r="N11" i="39"/>
  <c r="N13" i="39"/>
  <c r="N14" i="39"/>
  <c r="N15" i="39"/>
  <c r="N16" i="39"/>
  <c r="N17" i="39"/>
  <c r="N19" i="39"/>
  <c r="N20" i="39"/>
  <c r="N21" i="39"/>
  <c r="N22" i="39"/>
  <c r="N23" i="39"/>
  <c r="N26" i="39"/>
  <c r="N27" i="39"/>
  <c r="N28" i="39"/>
  <c r="N30" i="39"/>
  <c r="N31" i="39"/>
  <c r="N32" i="39"/>
  <c r="N34" i="39"/>
  <c r="N36" i="39"/>
  <c r="N37" i="39"/>
  <c r="N39" i="39"/>
  <c r="N40" i="39"/>
  <c r="N9" i="39"/>
  <c r="N8" i="39"/>
  <c r="M36" i="39"/>
  <c r="M20" i="39"/>
  <c r="M21" i="39"/>
  <c r="M22" i="39"/>
  <c r="M23" i="39"/>
  <c r="M17" i="39"/>
  <c r="M7" i="39"/>
  <c r="M8" i="39"/>
  <c r="I42" i="36"/>
  <c r="I43" i="36"/>
  <c r="I45" i="36"/>
  <c r="I47" i="36"/>
  <c r="I49" i="36"/>
  <c r="I50" i="36"/>
  <c r="I51" i="36"/>
  <c r="I41" i="36"/>
  <c r="I8" i="36"/>
  <c r="I9" i="36"/>
  <c r="I10" i="36"/>
  <c r="I11" i="36"/>
  <c r="I13" i="36"/>
  <c r="I14" i="36"/>
  <c r="I15" i="36"/>
  <c r="I16" i="36"/>
  <c r="I18" i="36"/>
  <c r="I20" i="36"/>
  <c r="I21" i="36"/>
  <c r="I22" i="36"/>
  <c r="I23" i="36"/>
  <c r="I24" i="36"/>
  <c r="I26" i="36"/>
  <c r="I27" i="36"/>
  <c r="I30" i="36"/>
  <c r="I31" i="36"/>
  <c r="I32" i="36"/>
  <c r="I34" i="36"/>
  <c r="I35" i="36"/>
  <c r="I36" i="36"/>
  <c r="I37" i="36"/>
  <c r="I38" i="36"/>
  <c r="I39" i="36"/>
  <c r="I40" i="36"/>
  <c r="F46" i="36"/>
  <c r="H7" i="36"/>
  <c r="I7" i="36"/>
  <c r="P8" i="35"/>
  <c r="P9" i="35"/>
  <c r="P10" i="35"/>
  <c r="P12" i="35"/>
  <c r="P13" i="35"/>
  <c r="P14" i="35"/>
  <c r="P15" i="35"/>
  <c r="P17" i="35"/>
  <c r="P20" i="35"/>
  <c r="P21" i="35"/>
  <c r="P22" i="35"/>
  <c r="P23" i="35"/>
  <c r="P24" i="35"/>
  <c r="P25" i="35"/>
  <c r="P26" i="35"/>
  <c r="P29" i="35"/>
  <c r="P30" i="35"/>
  <c r="P31" i="35"/>
  <c r="P33" i="35"/>
  <c r="P34" i="35"/>
  <c r="P35" i="35"/>
  <c r="P36" i="35"/>
  <c r="P38" i="35"/>
  <c r="P39" i="35"/>
  <c r="P41" i="35"/>
  <c r="P42" i="35"/>
  <c r="P44" i="35"/>
  <c r="P45" i="35"/>
  <c r="P46" i="35"/>
  <c r="P7" i="35"/>
  <c r="O7" i="35"/>
  <c r="N28" i="35"/>
  <c r="O37" i="34"/>
  <c r="O40" i="34"/>
  <c r="O41" i="34"/>
  <c r="O42" i="34"/>
  <c r="O44" i="34"/>
  <c r="O45" i="34"/>
  <c r="O46" i="34"/>
  <c r="O24" i="34"/>
  <c r="O27" i="34"/>
  <c r="O28" i="34"/>
  <c r="O29" i="34"/>
  <c r="O31" i="34"/>
  <c r="O32" i="34"/>
  <c r="O33" i="34"/>
  <c r="O35" i="34"/>
  <c r="O9" i="34"/>
  <c r="O10" i="34"/>
  <c r="O11" i="34"/>
  <c r="O13" i="34"/>
  <c r="O14" i="34"/>
  <c r="O15" i="34"/>
  <c r="O16" i="34"/>
  <c r="O18" i="34"/>
  <c r="O21" i="34"/>
  <c r="O22" i="34"/>
  <c r="O23" i="34"/>
  <c r="O8" i="34"/>
  <c r="I9" i="2"/>
  <c r="I10" i="2"/>
  <c r="I11" i="2"/>
  <c r="I12" i="2"/>
  <c r="I14" i="2"/>
  <c r="I17" i="2"/>
  <c r="I19" i="2"/>
  <c r="I20" i="2"/>
  <c r="I22" i="2"/>
  <c r="I7" i="2"/>
  <c r="I21" i="3"/>
  <c r="I23" i="3"/>
  <c r="I24" i="3"/>
  <c r="I26" i="3"/>
  <c r="I9" i="3"/>
  <c r="I10" i="3"/>
  <c r="I11" i="3"/>
  <c r="I15" i="3"/>
  <c r="I16" i="3"/>
  <c r="I18" i="3"/>
  <c r="I6" i="3"/>
  <c r="F5" i="3"/>
  <c r="H6" i="3"/>
  <c r="G5" i="3"/>
  <c r="X9" i="40"/>
  <c r="X10" i="40"/>
  <c r="X11" i="40"/>
  <c r="X12" i="40"/>
  <c r="X14" i="40"/>
  <c r="X15" i="40"/>
  <c r="X16" i="40"/>
  <c r="X17" i="40"/>
  <c r="X19" i="40"/>
  <c r="X20" i="40"/>
  <c r="X21" i="40"/>
  <c r="X22" i="40"/>
  <c r="X23" i="40"/>
  <c r="X24" i="40"/>
  <c r="X29" i="40"/>
  <c r="X32" i="40"/>
  <c r="X34" i="40"/>
  <c r="X35" i="40"/>
  <c r="X36" i="40"/>
  <c r="X37" i="40"/>
  <c r="X38" i="40"/>
  <c r="X40" i="40"/>
  <c r="X41" i="40"/>
  <c r="X42" i="40"/>
  <c r="X43" i="40"/>
  <c r="X44" i="40"/>
  <c r="X45" i="40"/>
  <c r="X47" i="40"/>
  <c r="X48" i="40"/>
  <c r="X49" i="40"/>
  <c r="X50" i="40"/>
  <c r="X51" i="40"/>
  <c r="O7" i="33"/>
  <c r="O8" i="33"/>
  <c r="O9" i="33"/>
  <c r="O12" i="33"/>
  <c r="O13" i="33"/>
  <c r="O14" i="33"/>
  <c r="O15" i="33"/>
  <c r="O17" i="33"/>
  <c r="O19" i="33"/>
  <c r="O20" i="33"/>
  <c r="O21" i="33"/>
  <c r="O22" i="33"/>
  <c r="O23" i="33"/>
  <c r="O24" i="33"/>
  <c r="O25" i="33"/>
  <c r="O26" i="33"/>
  <c r="O27" i="33"/>
  <c r="O28" i="33"/>
  <c r="O29" i="33"/>
  <c r="O33" i="33"/>
  <c r="O34" i="33"/>
  <c r="O35" i="33"/>
  <c r="O36" i="33"/>
  <c r="O38" i="33"/>
  <c r="O39" i="33"/>
  <c r="O40" i="33"/>
  <c r="O41" i="33"/>
  <c r="O42" i="33"/>
  <c r="O43" i="33"/>
  <c r="O44" i="33"/>
  <c r="O45" i="33"/>
  <c r="O46" i="33"/>
  <c r="O48" i="33"/>
  <c r="O49" i="33"/>
  <c r="O50" i="33"/>
  <c r="O51" i="33"/>
  <c r="O52" i="33"/>
  <c r="O53" i="33"/>
  <c r="O54" i="33"/>
  <c r="O55" i="33"/>
  <c r="O56" i="33"/>
  <c r="O57" i="33"/>
  <c r="O58" i="33"/>
  <c r="O59" i="33"/>
  <c r="O60" i="33"/>
  <c r="O61" i="33"/>
  <c r="O62" i="33"/>
  <c r="O63" i="33"/>
  <c r="O64" i="33"/>
  <c r="O68" i="33"/>
  <c r="N12" i="33"/>
  <c r="N13" i="33"/>
  <c r="N14" i="33"/>
  <c r="N15" i="33"/>
  <c r="N17" i="33"/>
  <c r="N16" i="33" s="1"/>
  <c r="N22" i="33"/>
  <c r="N24" i="33"/>
  <c r="N25" i="33"/>
  <c r="N26" i="33"/>
  <c r="N27" i="33"/>
  <c r="N28" i="33"/>
  <c r="N29" i="33"/>
  <c r="N33" i="33"/>
  <c r="N34" i="33"/>
  <c r="N35" i="33"/>
  <c r="N38" i="33"/>
  <c r="N39" i="33"/>
  <c r="N40" i="33"/>
  <c r="N41" i="33"/>
  <c r="N42" i="33"/>
  <c r="N43" i="33"/>
  <c r="N44" i="33"/>
  <c r="N45" i="33"/>
  <c r="N46" i="33"/>
  <c r="N48" i="33"/>
  <c r="N49" i="33"/>
  <c r="N50" i="33"/>
  <c r="N51" i="33"/>
  <c r="N52" i="33"/>
  <c r="N53" i="33"/>
  <c r="N54" i="33"/>
  <c r="N55" i="33"/>
  <c r="N56" i="33"/>
  <c r="N57" i="33"/>
  <c r="N58" i="33"/>
  <c r="N59" i="33"/>
  <c r="N60" i="33"/>
  <c r="N61" i="33"/>
  <c r="N62" i="33"/>
  <c r="N63" i="33"/>
  <c r="N64" i="33"/>
  <c r="N70" i="33"/>
  <c r="N72" i="33"/>
  <c r="N73" i="33"/>
  <c r="I11" i="40"/>
  <c r="M11" i="40"/>
  <c r="Q11" i="40" s="1"/>
  <c r="W11" i="40"/>
  <c r="I12" i="40"/>
  <c r="M12" i="40"/>
  <c r="Q12" i="40" s="1"/>
  <c r="W12" i="40"/>
  <c r="N43" i="35"/>
  <c r="P43" i="35" s="1"/>
  <c r="L53" i="37"/>
  <c r="H50" i="38"/>
  <c r="V59" i="40"/>
  <c r="M28" i="37" l="1"/>
  <c r="I5" i="3"/>
  <c r="N32" i="33"/>
  <c r="N11" i="33"/>
  <c r="H44" i="38"/>
  <c r="H21" i="38"/>
  <c r="L19" i="37"/>
  <c r="G44" i="36"/>
  <c r="I44" i="36" s="1"/>
  <c r="M47" i="33"/>
  <c r="O47" i="33" s="1"/>
  <c r="M10" i="33"/>
  <c r="O10" i="33" s="1"/>
  <c r="I21" i="38" l="1"/>
  <c r="J21" i="38"/>
  <c r="J44" i="38"/>
  <c r="I44" i="38"/>
  <c r="I40" i="38" s="1"/>
  <c r="N19" i="37"/>
  <c r="M19" i="37"/>
  <c r="N10" i="33"/>
  <c r="N6" i="33" s="1"/>
  <c r="N23" i="33"/>
  <c r="N18" i="33" s="1"/>
  <c r="N47" i="33"/>
  <c r="N37" i="33" s="1"/>
  <c r="N31" i="33" s="1"/>
  <c r="N30" i="33" s="1"/>
  <c r="L38" i="39"/>
  <c r="N38" i="39" s="1"/>
  <c r="M9" i="39"/>
  <c r="N19" i="35"/>
  <c r="P19" i="35" s="1"/>
  <c r="M43" i="34"/>
  <c r="O43" i="34" s="1"/>
  <c r="O20" i="34"/>
  <c r="L43" i="39"/>
  <c r="V57" i="40"/>
  <c r="N5" i="33" l="1"/>
  <c r="N65" i="33" s="1"/>
  <c r="L6" i="39"/>
  <c r="N37" i="35"/>
  <c r="P37" i="35" s="1"/>
  <c r="L18" i="37"/>
  <c r="L12" i="37"/>
  <c r="L6" i="37"/>
  <c r="H40" i="38"/>
  <c r="H28" i="38"/>
  <c r="G28" i="38"/>
  <c r="G40" i="38"/>
  <c r="L35" i="39"/>
  <c r="L29" i="39"/>
  <c r="L25" i="39"/>
  <c r="L12" i="39"/>
  <c r="J28" i="38" l="1"/>
  <c r="J40" i="38"/>
  <c r="L5" i="37"/>
  <c r="M30" i="34" l="1"/>
  <c r="M26" i="34"/>
  <c r="M39" i="34"/>
  <c r="L39" i="34"/>
  <c r="L30" i="34"/>
  <c r="N40" i="35"/>
  <c r="M40" i="35"/>
  <c r="L28" i="37"/>
  <c r="K28" i="37"/>
  <c r="L44" i="37"/>
  <c r="G32" i="38"/>
  <c r="G27" i="38" s="1"/>
  <c r="H32" i="38"/>
  <c r="M50" i="35"/>
  <c r="M32" i="35"/>
  <c r="M28" i="35"/>
  <c r="P28" i="35" s="1"/>
  <c r="O46" i="35"/>
  <c r="O45" i="35"/>
  <c r="K24" i="37"/>
  <c r="K18" i="37"/>
  <c r="N18" i="37" s="1"/>
  <c r="K12" i="37"/>
  <c r="N12" i="37" s="1"/>
  <c r="K6" i="37"/>
  <c r="N6" i="37" s="1"/>
  <c r="P40" i="35" l="1"/>
  <c r="H27" i="38"/>
  <c r="J27" i="38" s="1"/>
  <c r="J32" i="38"/>
  <c r="N28" i="37"/>
  <c r="O30" i="34"/>
  <c r="O39" i="34"/>
  <c r="M25" i="34"/>
  <c r="M27" i="35"/>
  <c r="K25" i="39" l="1"/>
  <c r="N25" i="39" s="1"/>
  <c r="K6" i="39" l="1"/>
  <c r="N6" i="39" s="1"/>
  <c r="L26" i="34"/>
  <c r="G20" i="38"/>
  <c r="G18" i="38"/>
  <c r="G12" i="38"/>
  <c r="L25" i="34" l="1"/>
  <c r="O25" i="34" s="1"/>
  <c r="O26" i="34"/>
  <c r="G46" i="36"/>
  <c r="I46" i="36" s="1"/>
  <c r="V25" i="40" l="1"/>
  <c r="X25" i="40" s="1"/>
  <c r="N46" i="34" l="1"/>
  <c r="M19" i="34"/>
  <c r="M39" i="39"/>
  <c r="F29" i="36"/>
  <c r="G29" i="36"/>
  <c r="I29" i="36" s="1"/>
  <c r="M78" i="33" l="1"/>
  <c r="L78" i="33"/>
  <c r="U57" i="40"/>
  <c r="M6" i="33"/>
  <c r="L71" i="33" l="1"/>
  <c r="M32" i="33"/>
  <c r="L32" i="33"/>
  <c r="L37" i="33"/>
  <c r="O32" i="33" l="1"/>
  <c r="H8" i="36"/>
  <c r="M40" i="39"/>
  <c r="M37" i="39"/>
  <c r="M31" i="39"/>
  <c r="M32" i="39"/>
  <c r="M34" i="39"/>
  <c r="M30" i="39"/>
  <c r="M27" i="39"/>
  <c r="M28" i="39"/>
  <c r="M26" i="39"/>
  <c r="M25" i="39" s="1"/>
  <c r="M19" i="39"/>
  <c r="M16" i="39"/>
  <c r="M14" i="39"/>
  <c r="M15" i="39"/>
  <c r="M13" i="39"/>
  <c r="M10" i="39"/>
  <c r="M11" i="39"/>
  <c r="O42" i="35"/>
  <c r="O43" i="35"/>
  <c r="O44" i="35"/>
  <c r="O41" i="35"/>
  <c r="O35" i="35"/>
  <c r="O36" i="35"/>
  <c r="O37" i="35"/>
  <c r="O38" i="35"/>
  <c r="O39" i="35"/>
  <c r="O33" i="35"/>
  <c r="O30" i="35"/>
  <c r="O31" i="35"/>
  <c r="O29" i="35"/>
  <c r="O20" i="35"/>
  <c r="O21" i="35"/>
  <c r="O23" i="35"/>
  <c r="O24" i="35"/>
  <c r="O25" i="35"/>
  <c r="O26" i="35"/>
  <c r="O19" i="35"/>
  <c r="O17" i="35"/>
  <c r="O16" i="35" s="1"/>
  <c r="O13" i="35"/>
  <c r="O14" i="35"/>
  <c r="O15" i="35"/>
  <c r="O12" i="35"/>
  <c r="O8" i="35"/>
  <c r="O9" i="35"/>
  <c r="O10" i="35"/>
  <c r="N44" i="34"/>
  <c r="N45" i="34"/>
  <c r="N47" i="34"/>
  <c r="N43" i="34"/>
  <c r="N40" i="34"/>
  <c r="N41" i="34"/>
  <c r="N42" i="34"/>
  <c r="N32" i="34"/>
  <c r="N33" i="34"/>
  <c r="N35" i="34"/>
  <c r="N37" i="34"/>
  <c r="N31" i="34"/>
  <c r="N28" i="34"/>
  <c r="N29" i="34"/>
  <c r="N27" i="34"/>
  <c r="N21" i="34"/>
  <c r="N22" i="34"/>
  <c r="N23" i="34"/>
  <c r="N24" i="34"/>
  <c r="N18" i="34"/>
  <c r="N17" i="34" s="1"/>
  <c r="N16" i="34"/>
  <c r="N15" i="34"/>
  <c r="N13" i="34"/>
  <c r="N8" i="34"/>
  <c r="N9" i="34"/>
  <c r="N10" i="34"/>
  <c r="N11" i="34"/>
  <c r="H22" i="2"/>
  <c r="H21" i="2" s="1"/>
  <c r="H20" i="2"/>
  <c r="H19" i="2"/>
  <c r="H18" i="2" s="1"/>
  <c r="H17" i="2"/>
  <c r="H10" i="2"/>
  <c r="H11" i="2"/>
  <c r="H12" i="2"/>
  <c r="H9" i="2"/>
  <c r="H13" i="2"/>
  <c r="H6" i="2"/>
  <c r="H26" i="3"/>
  <c r="H25" i="3" s="1"/>
  <c r="H24" i="3"/>
  <c r="H23" i="3"/>
  <c r="H22" i="3" s="1"/>
  <c r="H21" i="3"/>
  <c r="H18" i="3"/>
  <c r="H17" i="3" s="1"/>
  <c r="H16" i="3"/>
  <c r="H15" i="3"/>
  <c r="H14" i="3" s="1"/>
  <c r="H12" i="3" s="1"/>
  <c r="H10" i="3"/>
  <c r="H11" i="3"/>
  <c r="H9" i="3"/>
  <c r="H5" i="3"/>
  <c r="I34" i="38"/>
  <c r="I35" i="38"/>
  <c r="I33" i="38"/>
  <c r="I30" i="38"/>
  <c r="I31" i="38"/>
  <c r="I29" i="38"/>
  <c r="I19" i="38"/>
  <c r="I14" i="38"/>
  <c r="I15" i="38"/>
  <c r="I16" i="38"/>
  <c r="I17" i="38"/>
  <c r="I13" i="38"/>
  <c r="I10" i="38"/>
  <c r="I11" i="38"/>
  <c r="I9" i="38"/>
  <c r="M46" i="37"/>
  <c r="M47" i="37"/>
  <c r="M48" i="37"/>
  <c r="M49" i="37"/>
  <c r="M50" i="37"/>
  <c r="M45" i="37"/>
  <c r="M38" i="37"/>
  <c r="M39" i="37"/>
  <c r="M40" i="37"/>
  <c r="M41" i="37"/>
  <c r="M42" i="37"/>
  <c r="M43" i="37"/>
  <c r="M26" i="37"/>
  <c r="M27" i="37"/>
  <c r="M22" i="37"/>
  <c r="M14" i="37"/>
  <c r="M17" i="37"/>
  <c r="M11" i="37"/>
  <c r="M10" i="37"/>
  <c r="H35" i="36"/>
  <c r="H36" i="36"/>
  <c r="H37" i="36"/>
  <c r="H38" i="36"/>
  <c r="H39" i="36"/>
  <c r="H40" i="36"/>
  <c r="H41" i="36"/>
  <c r="H42" i="36"/>
  <c r="H43" i="36"/>
  <c r="H44" i="36"/>
  <c r="H45" i="36"/>
  <c r="H47" i="36"/>
  <c r="H49" i="36"/>
  <c r="H50" i="36"/>
  <c r="H51" i="36"/>
  <c r="H53" i="36"/>
  <c r="H34" i="36"/>
  <c r="H31" i="36"/>
  <c r="H32" i="36"/>
  <c r="H30" i="36"/>
  <c r="H27" i="36"/>
  <c r="H26" i="36"/>
  <c r="H21" i="36"/>
  <c r="H22" i="36"/>
  <c r="H23" i="36"/>
  <c r="H24" i="36"/>
  <c r="H20" i="36"/>
  <c r="H18" i="36"/>
  <c r="H14" i="36"/>
  <c r="H15" i="36"/>
  <c r="H16" i="36"/>
  <c r="H13" i="36"/>
  <c r="H9" i="36"/>
  <c r="H10" i="36"/>
  <c r="H11" i="36"/>
  <c r="W58" i="40"/>
  <c r="W59" i="40"/>
  <c r="W51" i="40"/>
  <c r="W50" i="40"/>
  <c r="W49" i="40"/>
  <c r="W48" i="40"/>
  <c r="W47" i="40"/>
  <c r="W45" i="40"/>
  <c r="W44" i="40"/>
  <c r="W43" i="40"/>
  <c r="W42" i="40"/>
  <c r="W41" i="40"/>
  <c r="W40" i="40"/>
  <c r="W38" i="40"/>
  <c r="W37" i="40"/>
  <c r="W36" i="40"/>
  <c r="W35" i="40"/>
  <c r="W34" i="40"/>
  <c r="W29" i="40"/>
  <c r="W28" i="40"/>
  <c r="W24" i="40"/>
  <c r="W23" i="40"/>
  <c r="W22" i="40"/>
  <c r="W21" i="40"/>
  <c r="W20" i="40"/>
  <c r="W19" i="40"/>
  <c r="W17" i="40"/>
  <c r="W16" i="40"/>
  <c r="W15" i="40"/>
  <c r="W14" i="40"/>
  <c r="W10" i="40"/>
  <c r="L66" i="37"/>
  <c r="N64" i="35"/>
  <c r="M64" i="35"/>
  <c r="I6" i="38" l="1"/>
  <c r="H20" i="3"/>
  <c r="H19" i="3" s="1"/>
  <c r="M12" i="39"/>
  <c r="O28" i="35"/>
  <c r="I28" i="38"/>
  <c r="N26" i="34"/>
  <c r="H8" i="2"/>
  <c r="H5" i="2" s="1"/>
  <c r="H29" i="36"/>
  <c r="O6" i="35"/>
  <c r="N39" i="34"/>
  <c r="N7" i="34"/>
  <c r="O11" i="35"/>
  <c r="H8" i="3"/>
  <c r="H4" i="3" s="1"/>
  <c r="M6" i="39"/>
  <c r="H16" i="2"/>
  <c r="H15" i="2" s="1"/>
  <c r="N30" i="34"/>
  <c r="M18" i="39"/>
  <c r="M29" i="39"/>
  <c r="O40" i="35"/>
  <c r="P5" i="39"/>
  <c r="O34" i="35"/>
  <c r="O32" i="35" s="1"/>
  <c r="M38" i="39"/>
  <c r="M35" i="39" s="1"/>
  <c r="O27" i="35" l="1"/>
  <c r="N25" i="34"/>
  <c r="M5" i="39"/>
  <c r="H23" i="2"/>
  <c r="H27" i="3"/>
  <c r="V63" i="40"/>
  <c r="G25" i="2" l="1"/>
  <c r="G17" i="36"/>
  <c r="W60" i="40"/>
  <c r="W61" i="40"/>
  <c r="W39" i="40"/>
  <c r="W33" i="40"/>
  <c r="W13" i="40"/>
  <c r="W46" i="40" l="1"/>
  <c r="W30" i="40" s="1"/>
  <c r="W8" i="40"/>
  <c r="W25" i="40"/>
  <c r="W18" i="40" s="1"/>
  <c r="W7" i="40" l="1"/>
  <c r="W52" i="40" s="1"/>
  <c r="I32" i="38" l="1"/>
  <c r="I27" i="38" s="1"/>
  <c r="I20" i="38"/>
  <c r="I18" i="38"/>
  <c r="I12" i="38"/>
  <c r="G56" i="36"/>
  <c r="G60" i="36" s="1"/>
  <c r="G68" i="36"/>
  <c r="H25" i="36"/>
  <c r="H19" i="36" s="1"/>
  <c r="H17" i="36"/>
  <c r="H6" i="36"/>
  <c r="F22" i="3"/>
  <c r="I22" i="3" l="1"/>
  <c r="I5" i="38"/>
  <c r="G33" i="36"/>
  <c r="M24" i="37"/>
  <c r="M44" i="37"/>
  <c r="M12" i="37"/>
  <c r="H12" i="36"/>
  <c r="H5" i="36" s="1"/>
  <c r="M6" i="37"/>
  <c r="I48" i="38" l="1"/>
  <c r="N14" i="34" l="1"/>
  <c r="N12" i="34" s="1"/>
  <c r="N20" i="34"/>
  <c r="M37" i="33"/>
  <c r="O37" i="33" s="1"/>
  <c r="O22" i="35" l="1"/>
  <c r="O18" i="35" s="1"/>
  <c r="O5" i="35" s="1"/>
  <c r="W57" i="40"/>
  <c r="W53" i="40" s="1"/>
  <c r="L18" i="39" l="1"/>
  <c r="N32" i="35" l="1"/>
  <c r="N27" i="35" l="1"/>
  <c r="P27" i="35" s="1"/>
  <c r="P32" i="35"/>
  <c r="U65" i="40"/>
  <c r="U64" i="40"/>
  <c r="U63" i="40"/>
  <c r="D63" i="40"/>
  <c r="G59" i="40"/>
  <c r="E59" i="40"/>
  <c r="D59" i="40"/>
  <c r="M58" i="40"/>
  <c r="Q58" i="40" s="1"/>
  <c r="I58" i="40"/>
  <c r="H58" i="40"/>
  <c r="Q56" i="40"/>
  <c r="I56" i="40"/>
  <c r="T57" i="40"/>
  <c r="S57" i="40"/>
  <c r="R57" i="40"/>
  <c r="P57" i="40"/>
  <c r="O57" i="40"/>
  <c r="N57" i="40"/>
  <c r="M57" i="40"/>
  <c r="L57" i="40"/>
  <c r="K57" i="40"/>
  <c r="J57" i="40"/>
  <c r="E57" i="40"/>
  <c r="M51" i="40"/>
  <c r="Q51" i="40" s="1"/>
  <c r="I51" i="40"/>
  <c r="M50" i="40"/>
  <c r="Q50" i="40" s="1"/>
  <c r="M49" i="40"/>
  <c r="Q49" i="40" s="1"/>
  <c r="I49" i="40"/>
  <c r="M48" i="40"/>
  <c r="Q48" i="40" s="1"/>
  <c r="I48" i="40"/>
  <c r="M47" i="40"/>
  <c r="Q47" i="40" s="1"/>
  <c r="I47" i="40"/>
  <c r="T46" i="40"/>
  <c r="S46" i="40"/>
  <c r="R46" i="40"/>
  <c r="P46" i="40"/>
  <c r="O46" i="40"/>
  <c r="N46" i="40"/>
  <c r="L46" i="40"/>
  <c r="K46" i="40"/>
  <c r="J46" i="40"/>
  <c r="F46" i="40"/>
  <c r="D46" i="40"/>
  <c r="M45" i="40"/>
  <c r="Q45" i="40" s="1"/>
  <c r="I45" i="40"/>
  <c r="M44" i="40"/>
  <c r="Q44" i="40" s="1"/>
  <c r="I44" i="40"/>
  <c r="M43" i="40"/>
  <c r="Q43" i="40" s="1"/>
  <c r="I43" i="40"/>
  <c r="M42" i="40"/>
  <c r="Q42" i="40" s="1"/>
  <c r="I42" i="40"/>
  <c r="M41" i="40"/>
  <c r="Q41" i="40" s="1"/>
  <c r="I41" i="40"/>
  <c r="M40" i="40"/>
  <c r="Q40" i="40" s="1"/>
  <c r="I40" i="40"/>
  <c r="T39" i="40"/>
  <c r="S39" i="40"/>
  <c r="R39" i="40"/>
  <c r="P39" i="40"/>
  <c r="O39" i="40"/>
  <c r="N39" i="40"/>
  <c r="L39" i="40"/>
  <c r="K39" i="40"/>
  <c r="J39" i="40"/>
  <c r="F39" i="40"/>
  <c r="D39" i="40"/>
  <c r="M38" i="40"/>
  <c r="Q38" i="40" s="1"/>
  <c r="I38" i="40"/>
  <c r="M37" i="40"/>
  <c r="Q37" i="40" s="1"/>
  <c r="I37" i="40"/>
  <c r="M36" i="40"/>
  <c r="Q36" i="40" s="1"/>
  <c r="I36" i="40"/>
  <c r="M35" i="40"/>
  <c r="Q35" i="40" s="1"/>
  <c r="I35" i="40"/>
  <c r="M34" i="40"/>
  <c r="M33" i="40" s="1"/>
  <c r="I34" i="40"/>
  <c r="T33" i="40"/>
  <c r="S33" i="40"/>
  <c r="R33" i="40"/>
  <c r="P33" i="40"/>
  <c r="O33" i="40"/>
  <c r="N33" i="40"/>
  <c r="L33" i="40"/>
  <c r="K33" i="40"/>
  <c r="J33" i="40"/>
  <c r="F33" i="40"/>
  <c r="D33" i="40"/>
  <c r="M29" i="40"/>
  <c r="Q29" i="40" s="1"/>
  <c r="I29" i="40"/>
  <c r="M28" i="40"/>
  <c r="Q28" i="40" s="1"/>
  <c r="I28" i="40"/>
  <c r="M27" i="40"/>
  <c r="Q27" i="40" s="1"/>
  <c r="M26" i="40"/>
  <c r="Q26" i="40" s="1"/>
  <c r="I26" i="40"/>
  <c r="T25" i="40"/>
  <c r="T18" i="40" s="1"/>
  <c r="S25" i="40"/>
  <c r="S18" i="40" s="1"/>
  <c r="R25" i="40"/>
  <c r="R18" i="40" s="1"/>
  <c r="P25" i="40"/>
  <c r="P18" i="40" s="1"/>
  <c r="O25" i="40"/>
  <c r="O18" i="40" s="1"/>
  <c r="N25" i="40"/>
  <c r="N18" i="40" s="1"/>
  <c r="L25" i="40"/>
  <c r="L18" i="40" s="1"/>
  <c r="K25" i="40"/>
  <c r="K18" i="40" s="1"/>
  <c r="J25" i="40"/>
  <c r="J18" i="40" s="1"/>
  <c r="F25" i="40"/>
  <c r="F18" i="40" s="1"/>
  <c r="D25" i="40"/>
  <c r="D18" i="40" s="1"/>
  <c r="M24" i="40"/>
  <c r="Q24" i="40" s="1"/>
  <c r="I24" i="40"/>
  <c r="M23" i="40"/>
  <c r="Q23" i="40" s="1"/>
  <c r="I23" i="40"/>
  <c r="M22" i="40"/>
  <c r="Q22" i="40" s="1"/>
  <c r="I22" i="40"/>
  <c r="M21" i="40"/>
  <c r="Q21" i="40" s="1"/>
  <c r="I21" i="40"/>
  <c r="M20" i="40"/>
  <c r="Q20" i="40" s="1"/>
  <c r="I20" i="40"/>
  <c r="M19" i="40"/>
  <c r="Q19" i="40" s="1"/>
  <c r="I19" i="40"/>
  <c r="M17" i="40"/>
  <c r="Q17" i="40" s="1"/>
  <c r="I17" i="40"/>
  <c r="M16" i="40"/>
  <c r="Q16" i="40" s="1"/>
  <c r="I16" i="40"/>
  <c r="M15" i="40"/>
  <c r="Q15" i="40" s="1"/>
  <c r="I15" i="40"/>
  <c r="M14" i="40"/>
  <c r="Q14" i="40" s="1"/>
  <c r="I14" i="40"/>
  <c r="T13" i="40"/>
  <c r="S13" i="40"/>
  <c r="R13" i="40"/>
  <c r="P13" i="40"/>
  <c r="O13" i="40"/>
  <c r="N13" i="40"/>
  <c r="L13" i="40"/>
  <c r="K13" i="40"/>
  <c r="J13" i="40"/>
  <c r="F13" i="40"/>
  <c r="D13" i="40"/>
  <c r="M10" i="40"/>
  <c r="Q10" i="40" s="1"/>
  <c r="I10" i="40"/>
  <c r="M9" i="40"/>
  <c r="Q9" i="40" s="1"/>
  <c r="I9" i="40"/>
  <c r="T8" i="40"/>
  <c r="S8" i="40"/>
  <c r="R8" i="40"/>
  <c r="P8" i="40"/>
  <c r="O8" i="40"/>
  <c r="N8" i="40"/>
  <c r="L8" i="40"/>
  <c r="K8" i="40"/>
  <c r="J8" i="40"/>
  <c r="F8" i="40"/>
  <c r="D8" i="40"/>
  <c r="E54" i="39"/>
  <c r="E53" i="39"/>
  <c r="E52" i="39"/>
  <c r="L51" i="39"/>
  <c r="E51" i="39"/>
  <c r="E50" i="39"/>
  <c r="L49" i="39"/>
  <c r="E49" i="39"/>
  <c r="D46" i="39"/>
  <c r="I44" i="39"/>
  <c r="I46" i="39" s="1"/>
  <c r="F44" i="39"/>
  <c r="G44" i="39" s="1"/>
  <c r="H35" i="39"/>
  <c r="G35" i="39"/>
  <c r="D35" i="39"/>
  <c r="E38" i="39"/>
  <c r="E37" i="39"/>
  <c r="L24" i="39"/>
  <c r="H29" i="39"/>
  <c r="G29" i="39"/>
  <c r="F29" i="39"/>
  <c r="E29" i="39"/>
  <c r="D29" i="39"/>
  <c r="E28" i="39"/>
  <c r="E27" i="39"/>
  <c r="E26" i="39"/>
  <c r="E21" i="39"/>
  <c r="E20" i="39"/>
  <c r="E23" i="39"/>
  <c r="E19" i="39"/>
  <c r="H18" i="39"/>
  <c r="G18" i="39"/>
  <c r="D18" i="39"/>
  <c r="E16" i="39"/>
  <c r="E15" i="39"/>
  <c r="E14" i="39"/>
  <c r="L5" i="39"/>
  <c r="Q5" i="39" s="1"/>
  <c r="E13" i="39"/>
  <c r="H12" i="39"/>
  <c r="G12" i="39"/>
  <c r="D12" i="39"/>
  <c r="E11" i="39"/>
  <c r="E10" i="39"/>
  <c r="E9" i="39"/>
  <c r="I8" i="39"/>
  <c r="E8" i="39"/>
  <c r="H6" i="39"/>
  <c r="G6" i="39"/>
  <c r="D6" i="39"/>
  <c r="L54" i="39" l="1"/>
  <c r="L52" i="39" s="1"/>
  <c r="J7" i="40"/>
  <c r="S30" i="40"/>
  <c r="K30" i="40"/>
  <c r="P30" i="40"/>
  <c r="O30" i="40"/>
  <c r="D30" i="40"/>
  <c r="L30" i="40"/>
  <c r="R30" i="40"/>
  <c r="I25" i="40"/>
  <c r="I18" i="40" s="1"/>
  <c r="H59" i="40"/>
  <c r="E6" i="39"/>
  <c r="I33" i="40"/>
  <c r="J30" i="40"/>
  <c r="T30" i="40"/>
  <c r="I46" i="40"/>
  <c r="I13" i="40"/>
  <c r="F30" i="40"/>
  <c r="N30" i="40"/>
  <c r="I39" i="40"/>
  <c r="M46" i="40"/>
  <c r="I8" i="40"/>
  <c r="L7" i="40"/>
  <c r="L52" i="40" s="1"/>
  <c r="L53" i="40" s="1"/>
  <c r="I43" i="39"/>
  <c r="M25" i="40"/>
  <c r="M18" i="40" s="1"/>
  <c r="T7" i="40"/>
  <c r="T52" i="40" s="1"/>
  <c r="T53" i="40" s="1"/>
  <c r="D7" i="40"/>
  <c r="M39" i="40"/>
  <c r="E69" i="40"/>
  <c r="E44" i="40" s="1"/>
  <c r="M8" i="40"/>
  <c r="Q34" i="40"/>
  <c r="Q33" i="40" s="1"/>
  <c r="R7" i="40"/>
  <c r="N7" i="40"/>
  <c r="F7" i="40"/>
  <c r="K7" i="40"/>
  <c r="K52" i="40" s="1"/>
  <c r="K53" i="40" s="1"/>
  <c r="O7" i="40"/>
  <c r="O52" i="40" s="1"/>
  <c r="O53" i="40" s="1"/>
  <c r="P7" i="40"/>
  <c r="P52" i="40" s="1"/>
  <c r="P53" i="40" s="1"/>
  <c r="H5" i="39"/>
  <c r="E12" i="39"/>
  <c r="H24" i="39"/>
  <c r="D5" i="39"/>
  <c r="G5" i="39"/>
  <c r="E18" i="39"/>
  <c r="G24" i="39"/>
  <c r="D24" i="39"/>
  <c r="G25" i="39"/>
  <c r="J44" i="39"/>
  <c r="U8" i="40"/>
  <c r="Q8" i="40"/>
  <c r="Q39" i="40"/>
  <c r="E29" i="40"/>
  <c r="Q25" i="40"/>
  <c r="Q18" i="40" s="1"/>
  <c r="V13" i="40"/>
  <c r="V33" i="40"/>
  <c r="S7" i="40"/>
  <c r="Q46" i="40"/>
  <c r="D57" i="40"/>
  <c r="Q57" i="40"/>
  <c r="M13" i="40"/>
  <c r="Q13" i="40"/>
  <c r="K18" i="39"/>
  <c r="N18" i="39" s="1"/>
  <c r="J8" i="39"/>
  <c r="E35" i="39"/>
  <c r="E25" i="39" s="1"/>
  <c r="F46" i="39"/>
  <c r="D25" i="39"/>
  <c r="H25" i="39"/>
  <c r="F43" i="39"/>
  <c r="J52" i="40" l="1"/>
  <c r="J53" i="40" s="1"/>
  <c r="E19" i="40"/>
  <c r="S52" i="40"/>
  <c r="S53" i="40" s="1"/>
  <c r="E15" i="40"/>
  <c r="D52" i="40"/>
  <c r="D53" i="40" s="1"/>
  <c r="E37" i="40"/>
  <c r="E11" i="40"/>
  <c r="E12" i="40"/>
  <c r="R52" i="40"/>
  <c r="R53" i="40" s="1"/>
  <c r="M7" i="40"/>
  <c r="E24" i="40"/>
  <c r="E47" i="40"/>
  <c r="E9" i="40"/>
  <c r="M30" i="40"/>
  <c r="I30" i="40"/>
  <c r="I7" i="40"/>
  <c r="F52" i="40"/>
  <c r="D41" i="39"/>
  <c r="D43" i="39" s="1"/>
  <c r="D47" i="39" s="1"/>
  <c r="E5" i="39"/>
  <c r="E49" i="40"/>
  <c r="E48" i="40"/>
  <c r="E45" i="40"/>
  <c r="E36" i="40"/>
  <c r="E17" i="40"/>
  <c r="E43" i="40"/>
  <c r="E14" i="40"/>
  <c r="E42" i="40"/>
  <c r="E41" i="40"/>
  <c r="E34" i="40"/>
  <c r="N52" i="40"/>
  <c r="N53" i="40" s="1"/>
  <c r="E20" i="40"/>
  <c r="E22" i="40"/>
  <c r="E16" i="40"/>
  <c r="E26" i="40"/>
  <c r="E23" i="40"/>
  <c r="E10" i="40"/>
  <c r="E38" i="40"/>
  <c r="E27" i="40"/>
  <c r="E51" i="40"/>
  <c r="Q30" i="40"/>
  <c r="E40" i="40"/>
  <c r="E21" i="40"/>
  <c r="E35" i="40"/>
  <c r="E50" i="40"/>
  <c r="E28" i="40"/>
  <c r="K35" i="39"/>
  <c r="N35" i="39" s="1"/>
  <c r="H41" i="39"/>
  <c r="H43" i="39" s="1"/>
  <c r="H47" i="39" s="1"/>
  <c r="G41" i="39"/>
  <c r="V8" i="40"/>
  <c r="X8" i="40" s="1"/>
  <c r="Q7" i="40"/>
  <c r="V46" i="40"/>
  <c r="F57" i="40"/>
  <c r="I57" i="40" s="1"/>
  <c r="F59" i="40"/>
  <c r="V39" i="40"/>
  <c r="J43" i="39"/>
  <c r="G43" i="39"/>
  <c r="K29" i="39"/>
  <c r="N29" i="39" s="1"/>
  <c r="K12" i="39"/>
  <c r="J46" i="39"/>
  <c r="I38" i="39"/>
  <c r="I36" i="39"/>
  <c r="I32" i="39"/>
  <c r="J32" i="39" s="1"/>
  <c r="I30" i="39"/>
  <c r="I21" i="39"/>
  <c r="I19" i="39"/>
  <c r="I13" i="39"/>
  <c r="I40" i="39"/>
  <c r="I37" i="39"/>
  <c r="I34" i="39"/>
  <c r="J34" i="39" s="1"/>
  <c r="I28" i="39"/>
  <c r="I27" i="39"/>
  <c r="I26" i="39"/>
  <c r="I20" i="39"/>
  <c r="I16" i="39"/>
  <c r="I15" i="39"/>
  <c r="I14" i="39"/>
  <c r="I11" i="39"/>
  <c r="I39" i="39"/>
  <c r="I10" i="39"/>
  <c r="I9" i="39"/>
  <c r="I31" i="39"/>
  <c r="J31" i="39" s="1"/>
  <c r="I23" i="39"/>
  <c r="I17" i="39"/>
  <c r="E24" i="39"/>
  <c r="K5" i="39" l="1"/>
  <c r="N12" i="39"/>
  <c r="K24" i="39"/>
  <c r="N24" i="39" s="1"/>
  <c r="N5" i="39"/>
  <c r="M52" i="40"/>
  <c r="M53" i="40" s="1"/>
  <c r="E25" i="40"/>
  <c r="E18" i="40" s="1"/>
  <c r="E13" i="40"/>
  <c r="E33" i="40"/>
  <c r="Q52" i="40"/>
  <c r="Q53" i="40" s="1"/>
  <c r="I52" i="40"/>
  <c r="E8" i="40"/>
  <c r="E46" i="40"/>
  <c r="V30" i="40"/>
  <c r="E41" i="39"/>
  <c r="E43" i="39" s="1"/>
  <c r="E47" i="39" s="1"/>
  <c r="E39" i="40"/>
  <c r="G42" i="39"/>
  <c r="L41" i="39"/>
  <c r="L42" i="39" s="1"/>
  <c r="V18" i="40"/>
  <c r="U13" i="40"/>
  <c r="X13" i="40" s="1"/>
  <c r="U33" i="40"/>
  <c r="X33" i="40" s="1"/>
  <c r="U39" i="40"/>
  <c r="X39" i="40" s="1"/>
  <c r="U46" i="40"/>
  <c r="X46" i="40" s="1"/>
  <c r="G69" i="40"/>
  <c r="I59" i="40"/>
  <c r="I29" i="39"/>
  <c r="J30" i="39"/>
  <c r="I18" i="39"/>
  <c r="I12" i="39"/>
  <c r="I6" i="39"/>
  <c r="I35" i="39"/>
  <c r="V7" i="40" l="1"/>
  <c r="K41" i="39"/>
  <c r="N41" i="39" s="1"/>
  <c r="E30" i="40"/>
  <c r="G11" i="40"/>
  <c r="H11" i="40" s="1"/>
  <c r="G12" i="40"/>
  <c r="H12" i="40" s="1"/>
  <c r="E7" i="40"/>
  <c r="U30" i="40"/>
  <c r="X30" i="40" s="1"/>
  <c r="I5" i="39"/>
  <c r="U18" i="40"/>
  <c r="U7" i="40" s="1"/>
  <c r="G49" i="40"/>
  <c r="H49" i="40" s="1"/>
  <c r="G43" i="40"/>
  <c r="H43" i="40" s="1"/>
  <c r="G26" i="40"/>
  <c r="H26" i="40" s="1"/>
  <c r="G24" i="40"/>
  <c r="H24" i="40" s="1"/>
  <c r="G20" i="40"/>
  <c r="H20" i="40" s="1"/>
  <c r="G17" i="40"/>
  <c r="H17" i="40" s="1"/>
  <c r="G16" i="40"/>
  <c r="H16" i="40" s="1"/>
  <c r="G15" i="40"/>
  <c r="H15" i="40" s="1"/>
  <c r="G51" i="40"/>
  <c r="H51" i="40" s="1"/>
  <c r="G50" i="40"/>
  <c r="H50" i="40" s="1"/>
  <c r="G44" i="40"/>
  <c r="H44" i="40" s="1"/>
  <c r="G37" i="40"/>
  <c r="H37" i="40" s="1"/>
  <c r="G36" i="40"/>
  <c r="H36" i="40" s="1"/>
  <c r="G35" i="40"/>
  <c r="H35" i="40" s="1"/>
  <c r="G34" i="40"/>
  <c r="G28" i="40"/>
  <c r="H28" i="40" s="1"/>
  <c r="G27" i="40"/>
  <c r="H27" i="40" s="1"/>
  <c r="G21" i="40"/>
  <c r="H21" i="40" s="1"/>
  <c r="G47" i="40"/>
  <c r="G45" i="40"/>
  <c r="H45" i="40" s="1"/>
  <c r="G41" i="40"/>
  <c r="H41" i="40" s="1"/>
  <c r="G40" i="40"/>
  <c r="G38" i="40"/>
  <c r="H38" i="40" s="1"/>
  <c r="G29" i="40"/>
  <c r="H29" i="40" s="1"/>
  <c r="G22" i="40"/>
  <c r="H22" i="40" s="1"/>
  <c r="G10" i="40"/>
  <c r="H10" i="40" s="1"/>
  <c r="G9" i="40"/>
  <c r="G48" i="40"/>
  <c r="H48" i="40" s="1"/>
  <c r="G42" i="40"/>
  <c r="H42" i="40" s="1"/>
  <c r="G25" i="40"/>
  <c r="G23" i="40"/>
  <c r="H23" i="40" s="1"/>
  <c r="G19" i="40"/>
  <c r="G14" i="40"/>
  <c r="J29" i="39"/>
  <c r="F40" i="39"/>
  <c r="J40" i="39" s="1"/>
  <c r="F39" i="39"/>
  <c r="J39" i="39" s="1"/>
  <c r="F10" i="39"/>
  <c r="J10" i="39" s="1"/>
  <c r="F9" i="39"/>
  <c r="F23" i="39"/>
  <c r="J23" i="39" s="1"/>
  <c r="F17" i="39"/>
  <c r="J17" i="39" s="1"/>
  <c r="F36" i="39"/>
  <c r="F19" i="39"/>
  <c r="F13" i="39"/>
  <c r="F21" i="39"/>
  <c r="J21" i="39" s="1"/>
  <c r="F11" i="39"/>
  <c r="J11" i="39" s="1"/>
  <c r="F38" i="39"/>
  <c r="J38" i="39" s="1"/>
  <c r="F14" i="39"/>
  <c r="J14" i="39" s="1"/>
  <c r="F26" i="39"/>
  <c r="F16" i="39"/>
  <c r="J16" i="39" s="1"/>
  <c r="F15" i="39"/>
  <c r="J15" i="39" s="1"/>
  <c r="F20" i="39"/>
  <c r="J20" i="39" s="1"/>
  <c r="F28" i="39"/>
  <c r="J28" i="39" s="1"/>
  <c r="F27" i="39"/>
  <c r="J27" i="39" s="1"/>
  <c r="F37" i="39"/>
  <c r="J37" i="39" s="1"/>
  <c r="I24" i="39"/>
  <c r="I25" i="39"/>
  <c r="X18" i="40" l="1"/>
  <c r="X7" i="40"/>
  <c r="V52" i="40"/>
  <c r="E52" i="40"/>
  <c r="E53" i="40" s="1"/>
  <c r="I41" i="39"/>
  <c r="I42" i="39" s="1"/>
  <c r="U52" i="40"/>
  <c r="G13" i="40"/>
  <c r="H14" i="40"/>
  <c r="H13" i="40" s="1"/>
  <c r="G39" i="40"/>
  <c r="H40" i="40"/>
  <c r="H39" i="40" s="1"/>
  <c r="G18" i="40"/>
  <c r="H19" i="40"/>
  <c r="G46" i="40"/>
  <c r="H47" i="40"/>
  <c r="H46" i="40" s="1"/>
  <c r="G33" i="40"/>
  <c r="H34" i="40"/>
  <c r="H33" i="40" s="1"/>
  <c r="H25" i="40"/>
  <c r="G8" i="40"/>
  <c r="H9" i="40"/>
  <c r="H8" i="40" s="1"/>
  <c r="J19" i="39"/>
  <c r="F18" i="39"/>
  <c r="J26" i="39"/>
  <c r="F6" i="39"/>
  <c r="J9" i="39"/>
  <c r="J13" i="39"/>
  <c r="F12" i="39"/>
  <c r="F35" i="39"/>
  <c r="J36" i="39"/>
  <c r="J35" i="39" s="1"/>
  <c r="X52" i="40" l="1"/>
  <c r="V53" i="40"/>
  <c r="G30" i="40"/>
  <c r="H30" i="40"/>
  <c r="G7" i="40"/>
  <c r="H18" i="40"/>
  <c r="H7" i="40" s="1"/>
  <c r="K42" i="39"/>
  <c r="F24" i="39"/>
  <c r="F25" i="39"/>
  <c r="J12" i="39"/>
  <c r="J18" i="39"/>
  <c r="F5" i="39"/>
  <c r="J6" i="39"/>
  <c r="G52" i="40" l="1"/>
  <c r="G57" i="40" s="1"/>
  <c r="G53" i="40" s="1"/>
  <c r="H52" i="40"/>
  <c r="J5" i="39"/>
  <c r="F41" i="39"/>
  <c r="J24" i="39"/>
  <c r="J25" i="39"/>
  <c r="H53" i="40" l="1"/>
  <c r="H57" i="40"/>
  <c r="J41" i="39"/>
  <c r="J42" i="39" s="1"/>
  <c r="H20" i="38" l="1"/>
  <c r="J20" i="38" s="1"/>
  <c r="D20" i="38"/>
  <c r="F59" i="38" l="1"/>
  <c r="E59" i="38"/>
  <c r="G56" i="38"/>
  <c r="H56" i="38"/>
  <c r="F56" i="38"/>
  <c r="E56" i="38"/>
  <c r="F50" i="38"/>
  <c r="E50" i="38"/>
  <c r="F46" i="38"/>
  <c r="E45" i="38"/>
  <c r="F45" i="38" s="1"/>
  <c r="E44" i="38"/>
  <c r="F44" i="38" s="1"/>
  <c r="E43" i="38"/>
  <c r="F43" i="38" s="1"/>
  <c r="E42" i="38"/>
  <c r="E41" i="38"/>
  <c r="F41" i="38" s="1"/>
  <c r="F38" i="38"/>
  <c r="F37" i="38"/>
  <c r="F35" i="38"/>
  <c r="F34" i="38"/>
  <c r="F33" i="38"/>
  <c r="E32" i="38"/>
  <c r="D32" i="38"/>
  <c r="F31" i="38"/>
  <c r="F30" i="38"/>
  <c r="F29" i="38"/>
  <c r="E28" i="38"/>
  <c r="D28" i="38"/>
  <c r="F26" i="38"/>
  <c r="E25" i="38"/>
  <c r="F25" i="38" s="1"/>
  <c r="E23" i="38"/>
  <c r="F23" i="38" s="1"/>
  <c r="E19" i="38"/>
  <c r="F19" i="38" s="1"/>
  <c r="H18" i="38"/>
  <c r="J18" i="38" s="1"/>
  <c r="D18" i="38"/>
  <c r="F17" i="38"/>
  <c r="F16" i="38"/>
  <c r="F15" i="38"/>
  <c r="F14" i="38"/>
  <c r="F13" i="38"/>
  <c r="H12" i="38"/>
  <c r="J12" i="38" s="1"/>
  <c r="E12" i="38"/>
  <c r="D12" i="38"/>
  <c r="E11" i="38"/>
  <c r="F11" i="38" s="1"/>
  <c r="E10" i="38"/>
  <c r="F10" i="38" s="1"/>
  <c r="E9" i="38"/>
  <c r="E8" i="38"/>
  <c r="F8" i="38" s="1"/>
  <c r="J6" i="38"/>
  <c r="D6" i="38"/>
  <c r="H5" i="38" l="1"/>
  <c r="F12" i="38"/>
  <c r="D27" i="38"/>
  <c r="E20" i="38"/>
  <c r="D5" i="38"/>
  <c r="E6" i="38"/>
  <c r="E27" i="38"/>
  <c r="F20" i="38"/>
  <c r="F32" i="38"/>
  <c r="L31" i="33"/>
  <c r="L30" i="33" s="1"/>
  <c r="F18" i="38"/>
  <c r="F9" i="38"/>
  <c r="E18" i="38"/>
  <c r="F42" i="38"/>
  <c r="E5" i="38" l="1"/>
  <c r="E48" i="38" s="1"/>
  <c r="E49" i="38" s="1"/>
  <c r="D48" i="38"/>
  <c r="D49" i="38" s="1"/>
  <c r="H48" i="38"/>
  <c r="H49" i="38" s="1"/>
  <c r="F6" i="38"/>
  <c r="F5" i="38" s="1"/>
  <c r="G5" i="38"/>
  <c r="J5" i="38" s="1"/>
  <c r="F28" i="38"/>
  <c r="F27" i="38" s="1"/>
  <c r="G48" i="38" l="1"/>
  <c r="F48" i="38"/>
  <c r="F49" i="38" s="1"/>
  <c r="G49" i="38" l="1"/>
  <c r="J48" i="38"/>
  <c r="J69" i="37"/>
  <c r="I68" i="37"/>
  <c r="K68" i="37" s="1"/>
  <c r="I67" i="37"/>
  <c r="K67" i="37" s="1"/>
  <c r="I66" i="37"/>
  <c r="K66" i="37" s="1"/>
  <c r="G62" i="37"/>
  <c r="D62" i="37"/>
  <c r="I61" i="37"/>
  <c r="I60" i="37"/>
  <c r="K58" i="37"/>
  <c r="I58" i="37"/>
  <c r="K57" i="37"/>
  <c r="I57" i="37"/>
  <c r="K56" i="37"/>
  <c r="I56" i="37"/>
  <c r="I55" i="37"/>
  <c r="F55" i="37"/>
  <c r="K55" i="37" s="1"/>
  <c r="J54" i="37"/>
  <c r="E54" i="37"/>
  <c r="I54" i="37" s="1"/>
  <c r="J53" i="37"/>
  <c r="H53" i="37"/>
  <c r="H59" i="37" s="1"/>
  <c r="J28" i="37"/>
  <c r="G28" i="37"/>
  <c r="F28" i="37"/>
  <c r="D28" i="37"/>
  <c r="I50" i="37"/>
  <c r="I49" i="37"/>
  <c r="I48" i="37"/>
  <c r="J44" i="37"/>
  <c r="J36" i="37" s="1"/>
  <c r="G44" i="37"/>
  <c r="G36" i="37" s="1"/>
  <c r="F44" i="37"/>
  <c r="F36" i="37" s="1"/>
  <c r="D44" i="37"/>
  <c r="D36" i="37" s="1"/>
  <c r="L24" i="37"/>
  <c r="N24" i="37" s="1"/>
  <c r="J24" i="37"/>
  <c r="G24" i="37"/>
  <c r="F24" i="37"/>
  <c r="D24" i="37"/>
  <c r="M21" i="37"/>
  <c r="M18" i="37" s="1"/>
  <c r="M5" i="37" s="1"/>
  <c r="J21" i="37"/>
  <c r="I21" i="37"/>
  <c r="H21" i="37"/>
  <c r="G21" i="37"/>
  <c r="G18" i="37" s="1"/>
  <c r="F21" i="37"/>
  <c r="F18" i="37" s="1"/>
  <c r="E21" i="37"/>
  <c r="D21" i="37"/>
  <c r="D18" i="37" s="1"/>
  <c r="J12" i="37"/>
  <c r="G12" i="37"/>
  <c r="F12" i="37"/>
  <c r="D12" i="37"/>
  <c r="J9" i="37"/>
  <c r="J6" i="37" s="1"/>
  <c r="G9" i="37"/>
  <c r="G6" i="37" s="1"/>
  <c r="F9" i="37"/>
  <c r="F6" i="37" s="1"/>
  <c r="D9" i="37"/>
  <c r="D6" i="37" s="1"/>
  <c r="D5" i="37" l="1"/>
  <c r="F5" i="37"/>
  <c r="E53" i="37"/>
  <c r="I53" i="37" s="1"/>
  <c r="M36" i="37"/>
  <c r="M23" i="37" s="1"/>
  <c r="G5" i="37"/>
  <c r="D23" i="37"/>
  <c r="F54" i="37"/>
  <c r="F53" i="37" s="1"/>
  <c r="F23" i="37"/>
  <c r="J23" i="37"/>
  <c r="G23" i="37"/>
  <c r="H33" i="37"/>
  <c r="H45" i="37"/>
  <c r="H44" i="37" s="1"/>
  <c r="H43" i="37"/>
  <c r="H41" i="37"/>
  <c r="H17" i="37"/>
  <c r="H15" i="37"/>
  <c r="H8" i="37"/>
  <c r="H7" i="37"/>
  <c r="H29" i="37"/>
  <c r="H38" i="37"/>
  <c r="H27" i="37"/>
  <c r="H34" i="37"/>
  <c r="H31" i="37"/>
  <c r="H42" i="37"/>
  <c r="H40" i="37"/>
  <c r="H37" i="37"/>
  <c r="H26" i="37"/>
  <c r="H16" i="37"/>
  <c r="H14" i="37"/>
  <c r="H10" i="37"/>
  <c r="H9" i="37" s="1"/>
  <c r="H39" i="37"/>
  <c r="H25" i="37"/>
  <c r="H13" i="37"/>
  <c r="L36" i="37"/>
  <c r="E59" i="37"/>
  <c r="L23" i="37" l="1"/>
  <c r="D51" i="37"/>
  <c r="D52" i="37" s="1"/>
  <c r="F51" i="37"/>
  <c r="F52" i="37" s="1"/>
  <c r="H12" i="37"/>
  <c r="H6" i="37"/>
  <c r="G51" i="37"/>
  <c r="G52" i="37" s="1"/>
  <c r="M51" i="37"/>
  <c r="K44" i="37"/>
  <c r="N44" i="37" s="1"/>
  <c r="J18" i="37"/>
  <c r="J5" i="37" s="1"/>
  <c r="J51" i="37" s="1"/>
  <c r="J52" i="37" s="1"/>
  <c r="H18" i="37"/>
  <c r="H36" i="37"/>
  <c r="E29" i="37"/>
  <c r="E38" i="37"/>
  <c r="I38" i="37" s="1"/>
  <c r="E27" i="37"/>
  <c r="I27" i="37" s="1"/>
  <c r="E34" i="37"/>
  <c r="I34" i="37" s="1"/>
  <c r="E31" i="37"/>
  <c r="I31" i="37" s="1"/>
  <c r="E46" i="37"/>
  <c r="I46" i="37" s="1"/>
  <c r="E42" i="37"/>
  <c r="I42" i="37" s="1"/>
  <c r="E40" i="37"/>
  <c r="I40" i="37" s="1"/>
  <c r="E37" i="37"/>
  <c r="I37" i="37" s="1"/>
  <c r="E26" i="37"/>
  <c r="I26" i="37" s="1"/>
  <c r="E16" i="37"/>
  <c r="I16" i="37" s="1"/>
  <c r="E14" i="37"/>
  <c r="I14" i="37" s="1"/>
  <c r="E10" i="37"/>
  <c r="E47" i="37"/>
  <c r="I47" i="37" s="1"/>
  <c r="E39" i="37"/>
  <c r="I39" i="37" s="1"/>
  <c r="E25" i="37"/>
  <c r="E13" i="37"/>
  <c r="E33" i="37"/>
  <c r="I33" i="37" s="1"/>
  <c r="E45" i="37"/>
  <c r="E43" i="37"/>
  <c r="I43" i="37" s="1"/>
  <c r="E41" i="37"/>
  <c r="I41" i="37" s="1"/>
  <c r="E17" i="37"/>
  <c r="I17" i="37" s="1"/>
  <c r="E15" i="37"/>
  <c r="I15" i="37" s="1"/>
  <c r="E8" i="37"/>
  <c r="I8" i="37" s="1"/>
  <c r="E7" i="37"/>
  <c r="I7" i="37" s="1"/>
  <c r="H24" i="37"/>
  <c r="H28" i="37"/>
  <c r="H5" i="37" l="1"/>
  <c r="L51" i="37"/>
  <c r="L52" i="37" s="1"/>
  <c r="K36" i="37"/>
  <c r="N36" i="37" s="1"/>
  <c r="K5" i="37"/>
  <c r="E44" i="37"/>
  <c r="E36" i="37" s="1"/>
  <c r="I45" i="37"/>
  <c r="H23" i="37"/>
  <c r="I13" i="37"/>
  <c r="E12" i="37"/>
  <c r="E9" i="37"/>
  <c r="E6" i="37" s="1"/>
  <c r="I10" i="37"/>
  <c r="E28" i="37"/>
  <c r="I29" i="37"/>
  <c r="I25" i="37"/>
  <c r="I24" i="37" s="1"/>
  <c r="E24" i="37"/>
  <c r="E18" i="37"/>
  <c r="N5" i="37" l="1"/>
  <c r="H51" i="37"/>
  <c r="H52" i="37" s="1"/>
  <c r="E5" i="37"/>
  <c r="K23" i="37"/>
  <c r="K51" i="37" s="1"/>
  <c r="I9" i="37"/>
  <c r="I6" i="37" s="1"/>
  <c r="E23" i="37"/>
  <c r="I12" i="37"/>
  <c r="I44" i="37"/>
  <c r="I36" i="37" s="1"/>
  <c r="I18" i="37"/>
  <c r="I28" i="37"/>
  <c r="N51" i="37" l="1"/>
  <c r="N23" i="37"/>
  <c r="E51" i="37"/>
  <c r="E52" i="37" s="1"/>
  <c r="I23" i="37"/>
  <c r="K52" i="37"/>
  <c r="I5" i="37"/>
  <c r="I51" i="37" l="1"/>
  <c r="I52" i="37" s="1"/>
  <c r="E78" i="36"/>
  <c r="C78" i="36"/>
  <c r="C77" i="36"/>
  <c r="G77" i="36" s="1"/>
  <c r="F68" i="36"/>
  <c r="D68" i="36"/>
  <c r="E56" i="36"/>
  <c r="E66" i="36" s="1"/>
  <c r="E46" i="36"/>
  <c r="D46" i="36"/>
  <c r="D33" i="36" s="1"/>
  <c r="D29" i="36"/>
  <c r="F25" i="36"/>
  <c r="G25" i="36"/>
  <c r="E25" i="36"/>
  <c r="D25" i="36"/>
  <c r="D19" i="36"/>
  <c r="F17" i="36"/>
  <c r="D17" i="36"/>
  <c r="F12" i="36"/>
  <c r="G12" i="36"/>
  <c r="I12" i="36" s="1"/>
  <c r="D12" i="36"/>
  <c r="F6" i="36"/>
  <c r="G6" i="36"/>
  <c r="D6" i="36"/>
  <c r="I17" i="36" l="1"/>
  <c r="I6" i="36"/>
  <c r="I25" i="36"/>
  <c r="D5" i="36"/>
  <c r="D28" i="36"/>
  <c r="G78" i="36"/>
  <c r="G79" i="36" s="1"/>
  <c r="H48" i="36"/>
  <c r="G19" i="36"/>
  <c r="D54" i="36"/>
  <c r="G28" i="36"/>
  <c r="F62" i="36"/>
  <c r="F19" i="36"/>
  <c r="F5" i="36" s="1"/>
  <c r="E8" i="36"/>
  <c r="E24" i="36"/>
  <c r="E23" i="36"/>
  <c r="E22" i="36"/>
  <c r="E21" i="36"/>
  <c r="E20" i="36"/>
  <c r="E18" i="36"/>
  <c r="E16" i="36"/>
  <c r="E15" i="36"/>
  <c r="E14" i="36"/>
  <c r="E13" i="36"/>
  <c r="E11" i="36"/>
  <c r="E7" i="36"/>
  <c r="E43" i="36"/>
  <c r="E10" i="36"/>
  <c r="E41" i="36"/>
  <c r="E9" i="36"/>
  <c r="F33" i="36"/>
  <c r="I33" i="36" s="1"/>
  <c r="C79" i="36"/>
  <c r="G5" i="36" l="1"/>
  <c r="I5" i="36" s="1"/>
  <c r="I19" i="36"/>
  <c r="F28" i="36"/>
  <c r="F54" i="36" s="1"/>
  <c r="E33" i="36"/>
  <c r="E28" i="36" s="1"/>
  <c r="H46" i="36"/>
  <c r="H33" i="36" s="1"/>
  <c r="H28" i="36" s="1"/>
  <c r="H54" i="36" s="1"/>
  <c r="G54" i="36"/>
  <c r="I54" i="36" s="1"/>
  <c r="F56" i="36"/>
  <c r="E6" i="36"/>
  <c r="E19" i="36"/>
  <c r="E12" i="36"/>
  <c r="E17" i="36"/>
  <c r="I28" i="36" l="1"/>
  <c r="F60" i="36"/>
  <c r="F55" i="36"/>
  <c r="E5" i="36"/>
  <c r="E54" i="36" s="1"/>
  <c r="E55" i="36" s="1"/>
  <c r="G73" i="35" l="1"/>
  <c r="E73" i="35"/>
  <c r="H73" i="35" s="1"/>
  <c r="H74" i="35" s="1"/>
  <c r="C72" i="35"/>
  <c r="G71" i="35"/>
  <c r="D67" i="35"/>
  <c r="H64" i="35"/>
  <c r="G64" i="35"/>
  <c r="E64" i="35"/>
  <c r="D64" i="35"/>
  <c r="H61" i="35"/>
  <c r="G61" i="35"/>
  <c r="E61" i="35"/>
  <c r="N58" i="35"/>
  <c r="N57" i="35"/>
  <c r="N56" i="35"/>
  <c r="H55" i="35"/>
  <c r="H50" i="35" s="1"/>
  <c r="E55" i="35"/>
  <c r="E50" i="35" s="1"/>
  <c r="D55" i="35"/>
  <c r="D50" i="35" s="1"/>
  <c r="L52" i="35"/>
  <c r="L55" i="35" s="1"/>
  <c r="L50" i="35" s="1"/>
  <c r="J52" i="35"/>
  <c r="J55" i="35" s="1"/>
  <c r="J50" i="35" s="1"/>
  <c r="I52" i="35"/>
  <c r="F52" i="35"/>
  <c r="F55" i="35" s="1"/>
  <c r="H51" i="35"/>
  <c r="H36" i="35" s="1"/>
  <c r="E51" i="35"/>
  <c r="E43" i="35" s="1"/>
  <c r="G50" i="35"/>
  <c r="K43" i="35"/>
  <c r="K42" i="35"/>
  <c r="H41" i="35"/>
  <c r="L40" i="35"/>
  <c r="J40" i="35"/>
  <c r="G40" i="35"/>
  <c r="D40" i="35"/>
  <c r="K34" i="35"/>
  <c r="K32" i="35" s="1"/>
  <c r="J34" i="35"/>
  <c r="J32" i="35" s="1"/>
  <c r="G34" i="35"/>
  <c r="G32" i="35" s="1"/>
  <c r="E34" i="35"/>
  <c r="D34" i="35"/>
  <c r="D32" i="35" s="1"/>
  <c r="L32" i="35"/>
  <c r="E26" i="35"/>
  <c r="I24" i="35"/>
  <c r="I23" i="35"/>
  <c r="I22" i="35"/>
  <c r="N18" i="35"/>
  <c r="L18" i="35"/>
  <c r="K18" i="35"/>
  <c r="J18" i="35"/>
  <c r="G18" i="35"/>
  <c r="D18" i="35"/>
  <c r="N16" i="35"/>
  <c r="L16" i="35"/>
  <c r="K16" i="35"/>
  <c r="J16" i="35"/>
  <c r="G16" i="35"/>
  <c r="F16" i="35"/>
  <c r="D16" i="35"/>
  <c r="E12" i="35"/>
  <c r="N11" i="35"/>
  <c r="L11" i="35"/>
  <c r="K11" i="35"/>
  <c r="J11" i="35"/>
  <c r="G11" i="35"/>
  <c r="F11" i="35"/>
  <c r="D11" i="35"/>
  <c r="H7" i="35"/>
  <c r="E7" i="35"/>
  <c r="E6" i="35" s="1"/>
  <c r="N6" i="35"/>
  <c r="L6" i="35"/>
  <c r="K6" i="35"/>
  <c r="J6" i="35"/>
  <c r="G6" i="35"/>
  <c r="F6" i="35"/>
  <c r="D6" i="35"/>
  <c r="E41" i="35" l="1"/>
  <c r="K5" i="35"/>
  <c r="H9" i="35"/>
  <c r="I9" i="35" s="1"/>
  <c r="H26" i="35"/>
  <c r="H12" i="35"/>
  <c r="H19" i="35"/>
  <c r="I19" i="35" s="1"/>
  <c r="H21" i="35"/>
  <c r="I21" i="35" s="1"/>
  <c r="H38" i="35"/>
  <c r="I38" i="35" s="1"/>
  <c r="E15" i="35"/>
  <c r="E25" i="35"/>
  <c r="E33" i="35"/>
  <c r="I33" i="35" s="1"/>
  <c r="J5" i="35"/>
  <c r="H13" i="35"/>
  <c r="H17" i="35"/>
  <c r="H16" i="35" s="1"/>
  <c r="H30" i="35"/>
  <c r="I30" i="35" s="1"/>
  <c r="K40" i="35"/>
  <c r="H8" i="35"/>
  <c r="I8" i="35" s="1"/>
  <c r="H10" i="35"/>
  <c r="I10" i="35" s="1"/>
  <c r="E13" i="35"/>
  <c r="I13" i="35" s="1"/>
  <c r="H14" i="35"/>
  <c r="E17" i="35"/>
  <c r="E16" i="35" s="1"/>
  <c r="H20" i="35"/>
  <c r="I20" i="35" s="1"/>
  <c r="H31" i="35"/>
  <c r="I31" i="35" s="1"/>
  <c r="H35" i="35"/>
  <c r="I35" i="35" s="1"/>
  <c r="I34" i="35" s="1"/>
  <c r="H37" i="35"/>
  <c r="I37" i="35" s="1"/>
  <c r="E42" i="35"/>
  <c r="E40" i="35" s="1"/>
  <c r="H43" i="35"/>
  <c r="I43" i="35" s="1"/>
  <c r="D5" i="35"/>
  <c r="H42" i="35"/>
  <c r="L5" i="35"/>
  <c r="E14" i="35"/>
  <c r="H15" i="35"/>
  <c r="H25" i="35"/>
  <c r="H29" i="35"/>
  <c r="I29" i="35" s="1"/>
  <c r="H39" i="35"/>
  <c r="I39" i="35" s="1"/>
  <c r="H44" i="35"/>
  <c r="I44" i="35" s="1"/>
  <c r="L28" i="35"/>
  <c r="L27" i="35" s="1"/>
  <c r="E18" i="35"/>
  <c r="E32" i="35"/>
  <c r="G5" i="35"/>
  <c r="I12" i="35"/>
  <c r="I7" i="35"/>
  <c r="G28" i="35"/>
  <c r="G27" i="35" s="1"/>
  <c r="J28" i="35"/>
  <c r="J27" i="35" s="1"/>
  <c r="J48" i="35" s="1"/>
  <c r="J49" i="35" s="1"/>
  <c r="D28" i="35"/>
  <c r="D27" i="35" s="1"/>
  <c r="K55" i="35"/>
  <c r="K50" i="35" s="1"/>
  <c r="I55" i="35"/>
  <c r="I50" i="35" s="1"/>
  <c r="K28" i="35"/>
  <c r="K27" i="35" s="1"/>
  <c r="K48" i="35" s="1"/>
  <c r="C74" i="35"/>
  <c r="I26" i="35"/>
  <c r="I41" i="35"/>
  <c r="G72" i="35"/>
  <c r="G74" i="35" s="1"/>
  <c r="N5" i="35"/>
  <c r="M11" i="35"/>
  <c r="P11" i="35" s="1"/>
  <c r="M6" i="35"/>
  <c r="P6" i="35" s="1"/>
  <c r="F15" i="35"/>
  <c r="F5" i="35" s="1"/>
  <c r="L61" i="35"/>
  <c r="F61" i="35"/>
  <c r="J61" i="35"/>
  <c r="K52" i="35"/>
  <c r="D48" i="35" l="1"/>
  <c r="D49" i="35" s="1"/>
  <c r="I15" i="35"/>
  <c r="H6" i="35"/>
  <c r="I25" i="35"/>
  <c r="I18" i="35" s="1"/>
  <c r="H18" i="35"/>
  <c r="H11" i="35"/>
  <c r="I14" i="35"/>
  <c r="L48" i="35"/>
  <c r="L49" i="35" s="1"/>
  <c r="I17" i="35"/>
  <c r="I16" i="35" s="1"/>
  <c r="I6" i="35"/>
  <c r="H40" i="35"/>
  <c r="G48" i="35"/>
  <c r="G49" i="35" s="1"/>
  <c r="I42" i="35"/>
  <c r="E28" i="35"/>
  <c r="E27" i="35" s="1"/>
  <c r="E11" i="35"/>
  <c r="E5" i="35" s="1"/>
  <c r="I32" i="35"/>
  <c r="I40" i="35"/>
  <c r="H34" i="35"/>
  <c r="H32" i="35" s="1"/>
  <c r="O48" i="35"/>
  <c r="K61" i="35"/>
  <c r="K49" i="35"/>
  <c r="N50" i="35"/>
  <c r="M18" i="35"/>
  <c r="P18" i="35" s="1"/>
  <c r="N48" i="35"/>
  <c r="M16" i="35"/>
  <c r="P16" i="35" s="1"/>
  <c r="H28" i="35" l="1"/>
  <c r="H27" i="35" s="1"/>
  <c r="H5" i="35"/>
  <c r="I11" i="35"/>
  <c r="I28" i="35"/>
  <c r="I27" i="35" s="1"/>
  <c r="E48" i="35"/>
  <c r="E49" i="35" s="1"/>
  <c r="I5" i="35"/>
  <c r="N49" i="35"/>
  <c r="M5" i="35"/>
  <c r="P5" i="35" s="1"/>
  <c r="H48" i="35" l="1"/>
  <c r="H49" i="35" s="1"/>
  <c r="I48" i="35"/>
  <c r="I49" i="35" s="1"/>
  <c r="M48" i="35"/>
  <c r="C74" i="34"/>
  <c r="F73" i="34"/>
  <c r="E73" i="34"/>
  <c r="G73" i="34" s="1"/>
  <c r="G74" i="34" s="1"/>
  <c r="F72" i="34"/>
  <c r="F71" i="34"/>
  <c r="F65" i="34"/>
  <c r="D65" i="34"/>
  <c r="L62" i="34"/>
  <c r="M62" i="34"/>
  <c r="F62" i="34"/>
  <c r="D62" i="34"/>
  <c r="F60" i="34"/>
  <c r="J56" i="34"/>
  <c r="M56" i="34" s="1"/>
  <c r="J55" i="34"/>
  <c r="M55" i="34" s="1"/>
  <c r="H54" i="34"/>
  <c r="G54" i="34"/>
  <c r="G59" i="34" s="1"/>
  <c r="E54" i="34"/>
  <c r="E59" i="34" s="1"/>
  <c r="K51" i="34"/>
  <c r="H51" i="34"/>
  <c r="G51" i="34"/>
  <c r="G87" i="34" s="1"/>
  <c r="E51" i="34"/>
  <c r="K39" i="34"/>
  <c r="J39" i="34"/>
  <c r="H39" i="34"/>
  <c r="F39" i="34"/>
  <c r="K30" i="34"/>
  <c r="J30" i="34"/>
  <c r="H30" i="34"/>
  <c r="F30" i="34"/>
  <c r="D30" i="34"/>
  <c r="K19" i="34"/>
  <c r="J20" i="34"/>
  <c r="J19" i="34" s="1"/>
  <c r="H19" i="34"/>
  <c r="F19" i="34"/>
  <c r="D19" i="34"/>
  <c r="J18" i="34"/>
  <c r="D18" i="34"/>
  <c r="D17" i="34" s="1"/>
  <c r="M17" i="34"/>
  <c r="K17" i="34"/>
  <c r="J17" i="34"/>
  <c r="H17" i="34"/>
  <c r="F17" i="34"/>
  <c r="J16" i="34"/>
  <c r="J15" i="34"/>
  <c r="J14" i="34"/>
  <c r="J13" i="34"/>
  <c r="L12" i="34"/>
  <c r="M12" i="34"/>
  <c r="K12" i="34"/>
  <c r="H12" i="34"/>
  <c r="F12" i="34"/>
  <c r="D12" i="34"/>
  <c r="I11" i="34"/>
  <c r="I10" i="34"/>
  <c r="I9" i="34"/>
  <c r="L7" i="34"/>
  <c r="M7" i="34"/>
  <c r="O7" i="34" s="1"/>
  <c r="K7" i="34"/>
  <c r="J7" i="34"/>
  <c r="H7" i="34"/>
  <c r="F7" i="34"/>
  <c r="F6" i="34" s="1"/>
  <c r="D7" i="34"/>
  <c r="J12" i="34" l="1"/>
  <c r="M49" i="35"/>
  <c r="P48" i="35"/>
  <c r="O12" i="34"/>
  <c r="H6" i="34"/>
  <c r="J26" i="34"/>
  <c r="J25" i="34" s="1"/>
  <c r="F26" i="34"/>
  <c r="F25" i="34" s="1"/>
  <c r="F48" i="34" s="1"/>
  <c r="J6" i="34"/>
  <c r="F74" i="34"/>
  <c r="K6" i="34"/>
  <c r="D6" i="34"/>
  <c r="I51" i="34"/>
  <c r="I54" i="34"/>
  <c r="D39" i="34"/>
  <c r="D26" i="34" s="1"/>
  <c r="D25" i="34" s="1"/>
  <c r="H26" i="34"/>
  <c r="H25" i="34" s="1"/>
  <c r="K26" i="34"/>
  <c r="K25" i="34" s="1"/>
  <c r="L17" i="34"/>
  <c r="O17" i="34" s="1"/>
  <c r="M6" i="34"/>
  <c r="G22" i="34"/>
  <c r="I22" i="34" s="1"/>
  <c r="G21" i="34"/>
  <c r="I21" i="34" s="1"/>
  <c r="G8" i="34"/>
  <c r="G20" i="34"/>
  <c r="G16" i="34"/>
  <c r="G24" i="34"/>
  <c r="G15" i="34"/>
  <c r="G18" i="34"/>
  <c r="G17" i="34" s="1"/>
  <c r="G14" i="34"/>
  <c r="G13" i="34"/>
  <c r="J51" i="34"/>
  <c r="J54" i="34"/>
  <c r="J48" i="34" l="1"/>
  <c r="J49" i="34" s="1"/>
  <c r="H48" i="34"/>
  <c r="H49" i="34" s="1"/>
  <c r="G90" i="34"/>
  <c r="K48" i="34"/>
  <c r="K49" i="34" s="1"/>
  <c r="D48" i="34"/>
  <c r="D51" i="34" s="1"/>
  <c r="D60" i="34" s="1"/>
  <c r="M48" i="34"/>
  <c r="G19" i="34"/>
  <c r="I20" i="34"/>
  <c r="G12" i="34"/>
  <c r="G7" i="34"/>
  <c r="L19" i="34" l="1"/>
  <c r="O19" i="34" s="1"/>
  <c r="N19" i="34"/>
  <c r="N6" i="34" s="1"/>
  <c r="N48" i="34" s="1"/>
  <c r="G31" i="34"/>
  <c r="G42" i="34"/>
  <c r="I42" i="34" s="1"/>
  <c r="G28" i="34"/>
  <c r="I28" i="34" s="1"/>
  <c r="G35" i="34"/>
  <c r="I35" i="34" s="1"/>
  <c r="G29" i="34"/>
  <c r="I29" i="34" s="1"/>
  <c r="G37" i="34"/>
  <c r="I37" i="34" s="1"/>
  <c r="G27" i="34"/>
  <c r="G32" i="34"/>
  <c r="I32" i="34" s="1"/>
  <c r="G41" i="34"/>
  <c r="I41" i="34" s="1"/>
  <c r="G33" i="34"/>
  <c r="I33" i="34" s="1"/>
  <c r="G40" i="34"/>
  <c r="I40" i="34" s="1"/>
  <c r="E68" i="34"/>
  <c r="E18" i="34" s="1"/>
  <c r="I18" i="34" s="1"/>
  <c r="I17" i="34" s="1"/>
  <c r="G6" i="34"/>
  <c r="L6" i="34" l="1"/>
  <c r="G30" i="34"/>
  <c r="E13" i="34"/>
  <c r="I13" i="34" s="1"/>
  <c r="G39" i="34"/>
  <c r="I27" i="34"/>
  <c r="E8" i="34"/>
  <c r="E7" i="34" s="1"/>
  <c r="E16" i="34"/>
  <c r="I16" i="34" s="1"/>
  <c r="E17" i="34"/>
  <c r="E23" i="34"/>
  <c r="I23" i="34" s="1"/>
  <c r="E15" i="34"/>
  <c r="I15" i="34" s="1"/>
  <c r="E24" i="34"/>
  <c r="I24" i="34" s="1"/>
  <c r="E31" i="34"/>
  <c r="E14" i="34"/>
  <c r="I14" i="34" s="1"/>
  <c r="L48" i="34" l="1"/>
  <c r="O6" i="34"/>
  <c r="I8" i="34"/>
  <c r="I12" i="34"/>
  <c r="E12" i="34"/>
  <c r="E39" i="34"/>
  <c r="I39" i="34"/>
  <c r="G26" i="34"/>
  <c r="G25" i="34" s="1"/>
  <c r="G48" i="34" s="1"/>
  <c r="G49" i="34" s="1"/>
  <c r="I19" i="34"/>
  <c r="I31" i="34"/>
  <c r="E30" i="34"/>
  <c r="E19" i="34"/>
  <c r="L49" i="34" l="1"/>
  <c r="O48" i="34"/>
  <c r="I7" i="34"/>
  <c r="I6" i="34" s="1"/>
  <c r="E6" i="34"/>
  <c r="E26" i="34"/>
  <c r="E25" i="34" s="1"/>
  <c r="I30" i="34"/>
  <c r="I26" i="34" s="1"/>
  <c r="I25" i="34" s="1"/>
  <c r="C90" i="33"/>
  <c r="F90" i="33" s="1"/>
  <c r="C89" i="33"/>
  <c r="F89" i="33" s="1"/>
  <c r="E88" i="33"/>
  <c r="C88" i="33"/>
  <c r="K78" i="33"/>
  <c r="H78" i="33"/>
  <c r="D78" i="33"/>
  <c r="D75" i="33"/>
  <c r="K73" i="33"/>
  <c r="K69" i="33" s="1"/>
  <c r="G73" i="33"/>
  <c r="G69" i="33" s="1"/>
  <c r="E73" i="33"/>
  <c r="D73" i="33"/>
  <c r="D69" i="33" s="1"/>
  <c r="K72" i="33"/>
  <c r="F69" i="33"/>
  <c r="I62" i="33"/>
  <c r="G62" i="33"/>
  <c r="E62" i="33"/>
  <c r="I61" i="33"/>
  <c r="J61" i="33" s="1"/>
  <c r="I60" i="33"/>
  <c r="G60" i="33"/>
  <c r="E60" i="33"/>
  <c r="I59" i="33"/>
  <c r="G59" i="33"/>
  <c r="E59" i="33"/>
  <c r="I58" i="33"/>
  <c r="G58" i="33"/>
  <c r="E58" i="33"/>
  <c r="I57" i="33"/>
  <c r="G57" i="33"/>
  <c r="E57" i="33"/>
  <c r="I56" i="33"/>
  <c r="G56" i="33"/>
  <c r="K55" i="33"/>
  <c r="K37" i="33" s="1"/>
  <c r="H55" i="33"/>
  <c r="H37" i="33" s="1"/>
  <c r="F55" i="33"/>
  <c r="F37" i="33" s="1"/>
  <c r="D55" i="33"/>
  <c r="D37" i="33" s="1"/>
  <c r="I54" i="33"/>
  <c r="G54" i="33"/>
  <c r="E54" i="33"/>
  <c r="I53" i="33"/>
  <c r="G53" i="33"/>
  <c r="E53" i="33"/>
  <c r="I52" i="33"/>
  <c r="G52" i="33"/>
  <c r="E52" i="33"/>
  <c r="I51" i="33"/>
  <c r="G51" i="33"/>
  <c r="E51" i="33"/>
  <c r="I50" i="33"/>
  <c r="G50" i="33"/>
  <c r="E50" i="33"/>
  <c r="I49" i="33"/>
  <c r="G49" i="33"/>
  <c r="E49" i="33"/>
  <c r="I48" i="33"/>
  <c r="G48" i="33"/>
  <c r="E48" i="33"/>
  <c r="I47" i="33"/>
  <c r="G47" i="33"/>
  <c r="E47" i="33"/>
  <c r="I46" i="33"/>
  <c r="G46" i="33"/>
  <c r="E46" i="33"/>
  <c r="I45" i="33"/>
  <c r="G45" i="33"/>
  <c r="E45" i="33"/>
  <c r="I44" i="33"/>
  <c r="G44" i="33"/>
  <c r="E44" i="33"/>
  <c r="I43" i="33"/>
  <c r="G43" i="33"/>
  <c r="E43" i="33"/>
  <c r="I42" i="33"/>
  <c r="G42" i="33"/>
  <c r="E42" i="33"/>
  <c r="I41" i="33"/>
  <c r="G41" i="33"/>
  <c r="E41" i="33"/>
  <c r="I40" i="33"/>
  <c r="G40" i="33"/>
  <c r="E40" i="33"/>
  <c r="I39" i="33"/>
  <c r="G39" i="33"/>
  <c r="E39" i="33"/>
  <c r="I38" i="33"/>
  <c r="G38" i="33"/>
  <c r="E38" i="33"/>
  <c r="K35" i="33"/>
  <c r="I35" i="33"/>
  <c r="G35" i="33"/>
  <c r="E35" i="33"/>
  <c r="K34" i="33"/>
  <c r="K32" i="33" s="1"/>
  <c r="I34" i="33"/>
  <c r="G34" i="33"/>
  <c r="E34" i="33"/>
  <c r="I33" i="33"/>
  <c r="G33" i="33"/>
  <c r="E33" i="33"/>
  <c r="M31" i="33"/>
  <c r="H32" i="33"/>
  <c r="F32" i="33"/>
  <c r="D32" i="33"/>
  <c r="I29" i="33"/>
  <c r="G29" i="33"/>
  <c r="E29" i="33"/>
  <c r="I28" i="33"/>
  <c r="G28" i="33"/>
  <c r="E28" i="33"/>
  <c r="I27" i="33"/>
  <c r="G27" i="33"/>
  <c r="E27" i="33"/>
  <c r="K26" i="33"/>
  <c r="K18" i="33" s="1"/>
  <c r="H26" i="33"/>
  <c r="H18" i="33" s="1"/>
  <c r="G26" i="33"/>
  <c r="D26" i="33"/>
  <c r="D18" i="33" s="1"/>
  <c r="I25" i="33"/>
  <c r="G25" i="33"/>
  <c r="E25" i="33"/>
  <c r="I24" i="33"/>
  <c r="G24" i="33"/>
  <c r="E24" i="33"/>
  <c r="I23" i="33"/>
  <c r="G23" i="33"/>
  <c r="E23" i="33"/>
  <c r="I22" i="33"/>
  <c r="G22" i="33"/>
  <c r="E22" i="33"/>
  <c r="I21" i="33"/>
  <c r="G21" i="33"/>
  <c r="E21" i="33"/>
  <c r="I20" i="33"/>
  <c r="G20" i="33"/>
  <c r="E20" i="33"/>
  <c r="I19" i="33"/>
  <c r="G19" i="33"/>
  <c r="E19" i="33"/>
  <c r="F18" i="33"/>
  <c r="I17" i="33"/>
  <c r="I16" i="33" s="1"/>
  <c r="G17" i="33"/>
  <c r="G16" i="33" s="1"/>
  <c r="E17" i="33"/>
  <c r="M16" i="33"/>
  <c r="K16" i="33"/>
  <c r="H16" i="33"/>
  <c r="F16" i="33"/>
  <c r="D16" i="33"/>
  <c r="I15" i="33"/>
  <c r="E15" i="33"/>
  <c r="I14" i="33"/>
  <c r="G14" i="33"/>
  <c r="E14" i="33"/>
  <c r="I13" i="33"/>
  <c r="G13" i="33"/>
  <c r="E13" i="33"/>
  <c r="I12" i="33"/>
  <c r="G12" i="33"/>
  <c r="E12" i="33"/>
  <c r="L11" i="33"/>
  <c r="M11" i="33"/>
  <c r="K11" i="33"/>
  <c r="H11" i="33"/>
  <c r="F11" i="33"/>
  <c r="D11" i="33"/>
  <c r="I10" i="33"/>
  <c r="G10" i="33"/>
  <c r="E10" i="33"/>
  <c r="I9" i="33"/>
  <c r="G9" i="33"/>
  <c r="E9" i="33"/>
  <c r="I8" i="33"/>
  <c r="G8" i="33"/>
  <c r="E8" i="33"/>
  <c r="I7" i="33"/>
  <c r="G7" i="33"/>
  <c r="E7" i="33"/>
  <c r="K6" i="33"/>
  <c r="H6" i="33"/>
  <c r="F6" i="33"/>
  <c r="D6" i="33"/>
  <c r="E11" i="33" l="1"/>
  <c r="G18" i="33"/>
  <c r="F31" i="33"/>
  <c r="F30" i="33" s="1"/>
  <c r="O11" i="33"/>
  <c r="M30" i="33"/>
  <c r="O30" i="33" s="1"/>
  <c r="O31" i="33"/>
  <c r="G11" i="33"/>
  <c r="E6" i="33"/>
  <c r="I26" i="33"/>
  <c r="I18" i="33" s="1"/>
  <c r="G32" i="33"/>
  <c r="I48" i="34"/>
  <c r="I49" i="34" s="1"/>
  <c r="E48" i="34"/>
  <c r="E49" i="34" s="1"/>
  <c r="K31" i="33"/>
  <c r="K30" i="33" s="1"/>
  <c r="J53" i="33"/>
  <c r="E26" i="33"/>
  <c r="J27" i="33"/>
  <c r="J28" i="33"/>
  <c r="J29" i="33"/>
  <c r="J33" i="33"/>
  <c r="I72" i="33"/>
  <c r="J72" i="33" s="1"/>
  <c r="G88" i="33"/>
  <c r="G91" i="33" s="1"/>
  <c r="J7" i="33"/>
  <c r="J14" i="33"/>
  <c r="J17" i="33"/>
  <c r="I32" i="33"/>
  <c r="D31" i="33"/>
  <c r="D30" i="33" s="1"/>
  <c r="J51" i="33"/>
  <c r="I6" i="33"/>
  <c r="F5" i="33"/>
  <c r="F65" i="33" s="1"/>
  <c r="F67" i="33" s="1"/>
  <c r="J15" i="33"/>
  <c r="E18" i="33"/>
  <c r="H31" i="33"/>
  <c r="H30" i="33" s="1"/>
  <c r="I55" i="33"/>
  <c r="I37" i="33" s="1"/>
  <c r="I31" i="33" s="1"/>
  <c r="I30" i="33" s="1"/>
  <c r="J59" i="33"/>
  <c r="E55" i="33"/>
  <c r="E37" i="33" s="1"/>
  <c r="J9" i="33"/>
  <c r="H5" i="33"/>
  <c r="E16" i="33"/>
  <c r="J20" i="33"/>
  <c r="J21" i="33"/>
  <c r="J22" i="33"/>
  <c r="J23" i="33"/>
  <c r="J24" i="33"/>
  <c r="J25" i="33"/>
  <c r="J34" i="33"/>
  <c r="J10" i="33"/>
  <c r="J13" i="33"/>
  <c r="J39" i="33"/>
  <c r="J40" i="33"/>
  <c r="J41" i="33"/>
  <c r="J42" i="33"/>
  <c r="J43" i="33"/>
  <c r="J44" i="33"/>
  <c r="J45" i="33"/>
  <c r="J46" i="33"/>
  <c r="J47" i="33"/>
  <c r="J48" i="33"/>
  <c r="J49" i="33"/>
  <c r="J50" i="33"/>
  <c r="J54" i="33"/>
  <c r="J60" i="33"/>
  <c r="K5" i="33"/>
  <c r="F88" i="33"/>
  <c r="F91" i="33" s="1"/>
  <c r="J8" i="33"/>
  <c r="I11" i="33"/>
  <c r="D5" i="33"/>
  <c r="J35" i="33"/>
  <c r="J52" i="33"/>
  <c r="J56" i="33"/>
  <c r="J57" i="33"/>
  <c r="J58" i="33"/>
  <c r="J62" i="33"/>
  <c r="E69" i="33"/>
  <c r="M18" i="33"/>
  <c r="K71" i="33"/>
  <c r="L6" i="33"/>
  <c r="O6" i="33" s="1"/>
  <c r="L69" i="33"/>
  <c r="J19" i="33"/>
  <c r="E32" i="33"/>
  <c r="J12" i="33"/>
  <c r="G6" i="33"/>
  <c r="J38" i="33"/>
  <c r="G55" i="33"/>
  <c r="G37" i="33" s="1"/>
  <c r="G31" i="33" s="1"/>
  <c r="G30" i="33" s="1"/>
  <c r="C91" i="33"/>
  <c r="K65" i="33" l="1"/>
  <c r="K67" i="33" s="1"/>
  <c r="G5" i="33"/>
  <c r="G65" i="33" s="1"/>
  <c r="G67" i="33" s="1"/>
  <c r="M5" i="33"/>
  <c r="J16" i="33"/>
  <c r="J6" i="33"/>
  <c r="J26" i="33"/>
  <c r="J18" i="33" s="1"/>
  <c r="H65" i="33"/>
  <c r="H73" i="33" s="1"/>
  <c r="H69" i="33" s="1"/>
  <c r="H67" i="33" s="1"/>
  <c r="E31" i="33"/>
  <c r="E30" i="33" s="1"/>
  <c r="I73" i="33"/>
  <c r="J32" i="33"/>
  <c r="D65" i="33"/>
  <c r="D67" i="33" s="1"/>
  <c r="E5" i="33"/>
  <c r="I5" i="33"/>
  <c r="I65" i="33" s="1"/>
  <c r="J55" i="33"/>
  <c r="J37" i="33" s="1"/>
  <c r="J11" i="33"/>
  <c r="M69" i="33"/>
  <c r="N69" i="33" s="1"/>
  <c r="L16" i="33"/>
  <c r="O16" i="33" s="1"/>
  <c r="M65" i="33" l="1"/>
  <c r="E65" i="33"/>
  <c r="E67" i="33" s="1"/>
  <c r="J31" i="33"/>
  <c r="J30" i="33" s="1"/>
  <c r="I69" i="33"/>
  <c r="J69" i="33" s="1"/>
  <c r="J73" i="33"/>
  <c r="J5" i="33"/>
  <c r="L18" i="33"/>
  <c r="M71" i="33"/>
  <c r="N71" i="33" s="1"/>
  <c r="N67" i="33" s="1"/>
  <c r="L5" i="33" l="1"/>
  <c r="O18" i="33"/>
  <c r="J65" i="33"/>
  <c r="J67" i="33" s="1"/>
  <c r="I67" i="33"/>
  <c r="M67" i="33"/>
  <c r="F8" i="3"/>
  <c r="L65" i="33" l="1"/>
  <c r="O65" i="33" s="1"/>
  <c r="O5" i="33"/>
  <c r="G40" i="2"/>
  <c r="G38" i="2"/>
  <c r="F31" i="2"/>
  <c r="G17" i="3"/>
  <c r="E22" i="3" l="1"/>
  <c r="D22" i="3"/>
  <c r="E18" i="2"/>
  <c r="E16" i="2" s="1"/>
  <c r="G16" i="2"/>
  <c r="G21" i="2"/>
  <c r="D18" i="2"/>
  <c r="D16" i="2" s="1"/>
  <c r="G15" i="2" l="1"/>
  <c r="F18" i="2" l="1"/>
  <c r="I18" i="2" l="1"/>
  <c r="G46" i="3"/>
  <c r="F40" i="2" l="1"/>
  <c r="F38" i="2"/>
  <c r="G13" i="2"/>
  <c r="E42" i="3" l="1"/>
  <c r="G42" i="3"/>
  <c r="G40" i="3"/>
  <c r="G45" i="2" l="1"/>
  <c r="C46" i="2"/>
  <c r="C45" i="2"/>
  <c r="C47" i="3"/>
  <c r="C46" i="3"/>
  <c r="C47" i="2" l="1"/>
  <c r="F25" i="2" l="1"/>
  <c r="F13" i="2" l="1"/>
  <c r="I13" i="2" s="1"/>
  <c r="F6" i="2"/>
  <c r="F43" i="3"/>
  <c r="D42" i="3"/>
  <c r="F42" i="3" s="1"/>
  <c r="F41" i="3"/>
  <c r="D37" i="3"/>
  <c r="F8" i="2" l="1"/>
  <c r="F5" i="2" s="1"/>
  <c r="F25" i="3" l="1"/>
  <c r="F20" i="3" s="1"/>
  <c r="F19" i="3" s="1"/>
  <c r="C48" i="3" l="1"/>
  <c r="E18" i="3" l="1"/>
  <c r="E17" i="3" s="1"/>
  <c r="E35" i="3" l="1"/>
  <c r="E32" i="3"/>
  <c r="E37" i="3" s="1"/>
  <c r="E31" i="2"/>
  <c r="E28" i="2"/>
  <c r="E51" i="2" s="1"/>
  <c r="E11" i="2" l="1"/>
  <c r="E10" i="2"/>
  <c r="E11" i="3"/>
  <c r="E10" i="3"/>
  <c r="E14" i="3" l="1"/>
  <c r="E12" i="3" s="1"/>
  <c r="G12" i="3"/>
  <c r="D14" i="3"/>
  <c r="E26" i="3"/>
  <c r="D25" i="3"/>
  <c r="D5" i="3"/>
  <c r="D8" i="3"/>
  <c r="D17" i="3"/>
  <c r="D35" i="3"/>
  <c r="D40" i="3"/>
  <c r="F40" i="3" s="1"/>
  <c r="E22" i="2"/>
  <c r="D8" i="2"/>
  <c r="D38" i="2"/>
  <c r="D40" i="2"/>
  <c r="D35" i="2"/>
  <c r="D31" i="2"/>
  <c r="D21" i="2"/>
  <c r="D13" i="2"/>
  <c r="D6" i="2"/>
  <c r="D20" i="3" l="1"/>
  <c r="D19" i="3" s="1"/>
  <c r="E21" i="2"/>
  <c r="E15" i="2" s="1"/>
  <c r="D25" i="2"/>
  <c r="D15" i="2"/>
  <c r="D29" i="3"/>
  <c r="D12" i="3"/>
  <c r="D4" i="3" s="1"/>
  <c r="D5" i="2"/>
  <c r="D27" i="3" l="1"/>
  <c r="D28" i="3" s="1"/>
  <c r="F14" i="3"/>
  <c r="D23" i="2"/>
  <c r="D24" i="2" s="1"/>
  <c r="G25" i="3"/>
  <c r="G20" i="3" s="1"/>
  <c r="I20" i="3" s="1"/>
  <c r="G8" i="3"/>
  <c r="G35" i="2"/>
  <c r="G8" i="2"/>
  <c r="I8" i="2" s="1"/>
  <c r="G6" i="2"/>
  <c r="I6" i="2" s="1"/>
  <c r="G4" i="3" l="1"/>
  <c r="I8" i="3"/>
  <c r="I25" i="3"/>
  <c r="F12" i="3"/>
  <c r="I12" i="3" s="1"/>
  <c r="I14" i="3"/>
  <c r="F13" i="3"/>
  <c r="I13" i="3" s="1"/>
  <c r="G5" i="2"/>
  <c r="I5" i="2" s="1"/>
  <c r="F7" i="3"/>
  <c r="I7" i="3" s="1"/>
  <c r="G29" i="3"/>
  <c r="G19" i="3" l="1"/>
  <c r="G27" i="3" s="1"/>
  <c r="G23" i="2"/>
  <c r="F17" i="3"/>
  <c r="I17" i="3" s="1"/>
  <c r="F21" i="2"/>
  <c r="I21" i="2" s="1"/>
  <c r="F16" i="2"/>
  <c r="I16" i="2" l="1"/>
  <c r="I15" i="2" s="1"/>
  <c r="F15" i="2"/>
  <c r="F23" i="2" s="1"/>
  <c r="G28" i="3"/>
  <c r="I19" i="3"/>
  <c r="G24" i="2"/>
  <c r="F4" i="3"/>
  <c r="F27" i="3" l="1"/>
  <c r="I4" i="3"/>
  <c r="F28" i="3" l="1"/>
  <c r="I27" i="3"/>
  <c r="F24" i="2"/>
  <c r="I23" i="2"/>
  <c r="E40" i="3"/>
  <c r="E29" i="3"/>
  <c r="E25" i="3"/>
  <c r="E20" i="3" s="1"/>
  <c r="E5" i="3"/>
  <c r="E19" i="3" l="1"/>
  <c r="E40" i="2" l="1"/>
  <c r="E38" i="2"/>
  <c r="E35" i="2"/>
  <c r="E13" i="2"/>
  <c r="E8" i="2"/>
  <c r="E6" i="2"/>
  <c r="E5" i="2" l="1"/>
  <c r="E25" i="2"/>
  <c r="E23" i="2" l="1"/>
  <c r="E24" i="2" s="1"/>
  <c r="E8" i="3" l="1"/>
  <c r="E4" i="3" s="1"/>
  <c r="E27" i="3" l="1"/>
  <c r="E28" i="3" l="1"/>
  <c r="M49" i="34"/>
  <c r="M24" i="39" l="1"/>
  <c r="M41" i="39" s="1"/>
</calcChain>
</file>

<file path=xl/comments1.xml><?xml version="1.0" encoding="utf-8"?>
<comments xmlns="http://schemas.openxmlformats.org/spreadsheetml/2006/main">
  <authors>
    <author>Жазира</author>
    <author>user</author>
  </authors>
  <commentList>
    <comment ref="M13" authorId="0" shapeId="0">
      <text>
        <r>
          <rPr>
            <b/>
            <sz val="9"/>
            <color indexed="81"/>
            <rFont val="Tahoma"/>
            <family val="2"/>
            <charset val="204"/>
          </rPr>
          <t>Жазира:</t>
        </r>
        <r>
          <rPr>
            <sz val="9"/>
            <color indexed="81"/>
            <rFont val="Tahoma"/>
            <family val="2"/>
            <charset val="204"/>
          </rPr>
          <t xml:space="preserve">
ЗП - разъездной (345,58)
</t>
        </r>
      </text>
    </comment>
    <comment ref="J18" authorId="1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180,321 Дизтопливо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I30" authorId="0" shapeId="0">
      <text>
        <r>
          <rPr>
            <b/>
            <sz val="9"/>
            <color indexed="81"/>
            <rFont val="Tahoma"/>
            <family val="2"/>
            <charset val="204"/>
          </rPr>
          <t>полностью на годовой объем</t>
        </r>
      </text>
    </comment>
  </commentList>
</comments>
</file>

<file path=xl/comments3.xml><?xml version="1.0" encoding="utf-8"?>
<comments xmlns="http://schemas.openxmlformats.org/spreadsheetml/2006/main">
  <authors>
    <author>Жазира</author>
  </authors>
  <commentList>
    <comment ref="J13" authorId="0" shapeId="0">
      <text>
        <r>
          <rPr>
            <b/>
            <sz val="9"/>
            <color indexed="81"/>
            <rFont val="Tahoma"/>
            <family val="2"/>
            <charset val="204"/>
          </rPr>
          <t>Жазира:</t>
        </r>
        <r>
          <rPr>
            <sz val="9"/>
            <color indexed="81"/>
            <rFont val="Tahoma"/>
            <family val="2"/>
            <charset val="204"/>
          </rPr>
          <t xml:space="preserve">
з/п факт за 7 мес+6 мес по штатке + регулир по 4 мес.</t>
        </r>
      </text>
    </comment>
    <comment ref="J25" authorId="0" shapeId="0">
      <text>
        <r>
          <rPr>
            <b/>
            <sz val="9"/>
            <color indexed="81"/>
            <rFont val="Tahoma"/>
            <family val="2"/>
            <charset val="204"/>
          </rPr>
          <t>Жазира:</t>
        </r>
        <r>
          <rPr>
            <sz val="9"/>
            <color indexed="81"/>
            <rFont val="Tahoma"/>
            <family val="2"/>
            <charset val="204"/>
          </rPr>
          <t xml:space="preserve">
факт за 7 мес+6 мес по штатке</t>
        </r>
      </text>
    </comment>
  </commentList>
</comments>
</file>

<file path=xl/sharedStrings.xml><?xml version="1.0" encoding="utf-8"?>
<sst xmlns="http://schemas.openxmlformats.org/spreadsheetml/2006/main" count="2245" uniqueCount="596">
  <si>
    <t>№ п/п</t>
  </si>
  <si>
    <t>Наименование показателей</t>
  </si>
  <si>
    <t>единица измерения</t>
  </si>
  <si>
    <t>факт</t>
  </si>
  <si>
    <t>I.</t>
  </si>
  <si>
    <t>Затраты на производство товаров и предоставление регулируемых услуг, всего</t>
  </si>
  <si>
    <t>тыс. тенге</t>
  </si>
  <si>
    <t>1.</t>
  </si>
  <si>
    <t>Материальные затраты, всего</t>
  </si>
  <si>
    <t>1.1</t>
  </si>
  <si>
    <t>сырье и материалы</t>
  </si>
  <si>
    <t>1.2</t>
  </si>
  <si>
    <t>ГСМ</t>
  </si>
  <si>
    <t>1.3</t>
  </si>
  <si>
    <t>1.4</t>
  </si>
  <si>
    <t>запасные части</t>
  </si>
  <si>
    <t>1.5</t>
  </si>
  <si>
    <t>электроэнергия</t>
  </si>
  <si>
    <t>Затраты на оплату труда, всего</t>
  </si>
  <si>
    <t>2.1</t>
  </si>
  <si>
    <t>в том числе: заработная плата</t>
  </si>
  <si>
    <t>2.2</t>
  </si>
  <si>
    <t>социальный налог</t>
  </si>
  <si>
    <t>2.3</t>
  </si>
  <si>
    <t>соц. отчисления</t>
  </si>
  <si>
    <t>Амортизация основных средств и нематериальных активов</t>
  </si>
  <si>
    <t>4.1</t>
  </si>
  <si>
    <t>текущий ремонт</t>
  </si>
  <si>
    <t>Прочие затраты, всего</t>
  </si>
  <si>
    <t>5.1</t>
  </si>
  <si>
    <t>услуги связи</t>
  </si>
  <si>
    <t>5.2</t>
  </si>
  <si>
    <t>аттестация гидропостов</t>
  </si>
  <si>
    <t>5.3</t>
  </si>
  <si>
    <t>Плата за загрязнение окружающей среды</t>
  </si>
  <si>
    <t>5.4</t>
  </si>
  <si>
    <t>5.5</t>
  </si>
  <si>
    <t>5.6</t>
  </si>
  <si>
    <t>командировочные</t>
  </si>
  <si>
    <t>5.7</t>
  </si>
  <si>
    <t>5.8</t>
  </si>
  <si>
    <t>охрана труда и тех. безопасности, противопожарные расходы</t>
  </si>
  <si>
    <t>II.</t>
  </si>
  <si>
    <t>Расход периода, всего</t>
  </si>
  <si>
    <t>6.1</t>
  </si>
  <si>
    <t>заработная плата АУП</t>
  </si>
  <si>
    <t>социальные отчисления</t>
  </si>
  <si>
    <t>6.2</t>
  </si>
  <si>
    <t>6.3</t>
  </si>
  <si>
    <t>6.4</t>
  </si>
  <si>
    <t>6.4.1</t>
  </si>
  <si>
    <t>Плата за пользование водными ресурсами</t>
  </si>
  <si>
    <t>налог на имущество</t>
  </si>
  <si>
    <t xml:space="preserve">земельный налог </t>
  </si>
  <si>
    <t>Другие всего, в том числе</t>
  </si>
  <si>
    <t>услуги банка</t>
  </si>
  <si>
    <t>услуги сторонних организаций</t>
  </si>
  <si>
    <t>канцелярские товары</t>
  </si>
  <si>
    <t>тыс.тенге</t>
  </si>
  <si>
    <t>I</t>
  </si>
  <si>
    <t>Всего затрат</t>
  </si>
  <si>
    <t>III</t>
  </si>
  <si>
    <t>Всего доходов</t>
  </si>
  <si>
    <t>IV</t>
  </si>
  <si>
    <t>Объем оказываемых услуг</t>
  </si>
  <si>
    <t>V</t>
  </si>
  <si>
    <t>нормативные потери</t>
  </si>
  <si>
    <t>%</t>
  </si>
  <si>
    <t>VI</t>
  </si>
  <si>
    <t>VII</t>
  </si>
  <si>
    <t>Тариф (без НДС)</t>
  </si>
  <si>
    <t>Главный бухгалтер</t>
  </si>
  <si>
    <t>Начальник отдела планирования и тарифообразования</t>
  </si>
  <si>
    <t xml:space="preserve">Наименование показателей </t>
  </si>
  <si>
    <t>Единица измерения</t>
  </si>
  <si>
    <t>Предусмотрено в утвержденной тарифной смете</t>
  </si>
  <si>
    <t>Затраты на производство товаров и предоставление услуг, всего, в том числе</t>
  </si>
  <si>
    <t>Материальные затраты, всего, в том числе</t>
  </si>
  <si>
    <t>Затраты на оплату труда, всего 
в том числе</t>
  </si>
  <si>
    <t>заработная плата</t>
  </si>
  <si>
    <t>Амортизация</t>
  </si>
  <si>
    <t>Прочие затраты, всего, в том числе</t>
  </si>
  <si>
    <t>II</t>
  </si>
  <si>
    <t>Расходы периода, всего</t>
  </si>
  <si>
    <t>Общие и административные расходы, всего в том числе</t>
  </si>
  <si>
    <t>подписка/периодическая печать</t>
  </si>
  <si>
    <t>Налоговые платежи и сборы</t>
  </si>
  <si>
    <t>плата за пользование водными ресурсами поверхностных источников</t>
  </si>
  <si>
    <t>Прибыль/Убыток</t>
  </si>
  <si>
    <t>Сумма не возмещенного СЕМ дохода</t>
  </si>
  <si>
    <t>Доход за минусом уже возмещенного СЕМ дохода</t>
  </si>
  <si>
    <t xml:space="preserve">тыс.м3 </t>
  </si>
  <si>
    <t>тыс.кВтч</t>
  </si>
  <si>
    <t>тыс.Гкал</t>
  </si>
  <si>
    <t>Пеня за неисполнение условий договора</t>
  </si>
  <si>
    <t>ИТОГО ДОХОД</t>
  </si>
  <si>
    <t>Нормативные потери</t>
  </si>
  <si>
    <t>тыс.м3</t>
  </si>
  <si>
    <t>VIII</t>
  </si>
  <si>
    <t>тенге/м3</t>
  </si>
  <si>
    <t>Справочно:</t>
  </si>
  <si>
    <t>Среднесписочная численность работников, всего</t>
  </si>
  <si>
    <t>человек</t>
  </si>
  <si>
    <t>производственного персонала</t>
  </si>
  <si>
    <t>Среднемесячная зарплата, всего</t>
  </si>
  <si>
    <t>тенге</t>
  </si>
  <si>
    <t>С. Мухамадиев</t>
  </si>
  <si>
    <t>Д. Мадимова</t>
  </si>
  <si>
    <t>Исп.</t>
  </si>
  <si>
    <t>Ш. Карибаева</t>
  </si>
  <si>
    <t>№№
п/п</t>
  </si>
  <si>
    <t>Затраты на производство товаров и предоставление услуг, всего в том числе</t>
  </si>
  <si>
    <t>Материальные затраты, всего в том числе</t>
  </si>
  <si>
    <t>Затраты на оплату труда, всего, в том числе</t>
  </si>
  <si>
    <t>3.1</t>
  </si>
  <si>
    <t>Ремонт, всего в том числе</t>
  </si>
  <si>
    <t>Налоговые платежи</t>
  </si>
  <si>
    <t>плата за пользование водными ресурсами</t>
  </si>
  <si>
    <t>7</t>
  </si>
  <si>
    <t>Подготовка кадров</t>
  </si>
  <si>
    <t>7.1</t>
  </si>
  <si>
    <t>7.2</t>
  </si>
  <si>
    <t>административного персонала</t>
  </si>
  <si>
    <t>Затраты на производство товаров и предоставление услуг, всего, в т. ч.:</t>
  </si>
  <si>
    <t xml:space="preserve">тыс. тенге </t>
  </si>
  <si>
    <t xml:space="preserve">ГСМ </t>
  </si>
  <si>
    <t>Расходы на оплату труда, всего, в т. ч.:</t>
  </si>
  <si>
    <t xml:space="preserve">Социальный налог </t>
  </si>
  <si>
    <t>Социальные отчисления</t>
  </si>
  <si>
    <t>Прочие затраты</t>
  </si>
  <si>
    <t xml:space="preserve">тыс. тенге 
</t>
  </si>
  <si>
    <t>Техосмотр автомашин</t>
  </si>
  <si>
    <t>Аттестация гидропостов</t>
  </si>
  <si>
    <t>Прочие затраты, всего в том числе:</t>
  </si>
  <si>
    <t>Командировочные расходы</t>
  </si>
  <si>
    <t xml:space="preserve">III </t>
  </si>
  <si>
    <t>Среднесписочная численность персонала, всего, в т. ч.:</t>
  </si>
  <si>
    <t>Среднемесячная заработная плата, всего, в т.ч.:</t>
  </si>
  <si>
    <t>соц.отчисл.</t>
  </si>
  <si>
    <t>IX</t>
  </si>
  <si>
    <t>Прочие доходы (пеня за неисполнение условий договора)</t>
  </si>
  <si>
    <t>Тариф, тенге/м3</t>
  </si>
  <si>
    <t>до 01.06.2016г.</t>
  </si>
  <si>
    <t>0,202/0,424</t>
  </si>
  <si>
    <t>0,114/0,32</t>
  </si>
  <si>
    <t>услуги по предоставлению гидрометеорологической информации</t>
  </si>
  <si>
    <t>Изготовление печати и штампа</t>
  </si>
  <si>
    <t>Услуги сторонних организаций</t>
  </si>
  <si>
    <t>страхование автотранспорта</t>
  </si>
  <si>
    <t>3.2.1</t>
  </si>
  <si>
    <t>Ремонт</t>
  </si>
  <si>
    <t>Возмещение затрат на электроэнергию</t>
  </si>
  <si>
    <t>Возмещение транспортного налога</t>
  </si>
  <si>
    <t>Возмещение налога на имущество</t>
  </si>
  <si>
    <t>Услуги банка</t>
  </si>
  <si>
    <t>Услуги нотариуса</t>
  </si>
  <si>
    <t xml:space="preserve">Нормативные технические потери </t>
  </si>
  <si>
    <t xml:space="preserve">% </t>
  </si>
  <si>
    <t>Материальные затраты, всего, в т.ч.:</t>
  </si>
  <si>
    <t>Командировочные</t>
  </si>
  <si>
    <t>Общие и административные, всего</t>
  </si>
  <si>
    <t>Затраты на оплату труда, всего, в том числе:</t>
  </si>
  <si>
    <t>Заработная плата</t>
  </si>
  <si>
    <t>Социальный налог</t>
  </si>
  <si>
    <t>Налоговые платежи и сборы, всего, в том числе:</t>
  </si>
  <si>
    <t>Публикация в СМИ</t>
  </si>
  <si>
    <t xml:space="preserve">Тариф </t>
  </si>
  <si>
    <t>Услуги по предоставлению гидрометеорологической информации</t>
  </si>
  <si>
    <t>6.2.1</t>
  </si>
  <si>
    <t>Д.Мадимова</t>
  </si>
  <si>
    <t>сентябрь</t>
  </si>
  <si>
    <t>октябрь</t>
  </si>
  <si>
    <t>страхование автомашин</t>
  </si>
  <si>
    <t xml:space="preserve">Наименование показателей
</t>
  </si>
  <si>
    <t xml:space="preserve">Ед.  изм.
</t>
  </si>
  <si>
    <t xml:space="preserve">Всего затрат на 
предоставление услуг </t>
  </si>
  <si>
    <t xml:space="preserve">Всего доходов </t>
  </si>
  <si>
    <t xml:space="preserve">VIII </t>
  </si>
  <si>
    <t>5.2.1</t>
  </si>
  <si>
    <t>0,361/0,397</t>
  </si>
  <si>
    <t>№
п/п</t>
  </si>
  <si>
    <t>Наименование</t>
  </si>
  <si>
    <t>по плану развития</t>
  </si>
  <si>
    <t>Объем оказываемых услуг,
тыс.м3</t>
  </si>
  <si>
    <t>с 01.07.2016г. и до конца вегетационного периода</t>
  </si>
  <si>
    <t>Доход,
тыс.тенге</t>
  </si>
  <si>
    <t>до 01.07.2016г. (по компенсир.тарифу)</t>
  </si>
  <si>
    <t>По плану развития</t>
  </si>
  <si>
    <t>Возмещение убытка потребителю, тыс.тенге</t>
  </si>
  <si>
    <t>подготовка и формление исх.докум.</t>
  </si>
  <si>
    <t>Разница между утвержденным и компенсирую-щим тарифом</t>
  </si>
  <si>
    <t>Приказ ДКРЕМиЗК по АО
№402-ОД от 27.11.15г.</t>
  </si>
  <si>
    <t>Приказ № 272-ОД от 25.11.2009 г.
Старый Кушук (ирригация),
согласован письмом
№04-17-1/619 от 28.03.2016г.</t>
  </si>
  <si>
    <t>Приказ ДКРЕМиЗК по АО
№131-ОД от 22.06.16г.
с 15.07.2016г.</t>
  </si>
  <si>
    <t>Общий план</t>
  </si>
  <si>
    <t>предусмотрено в утвержденной тарифной смете</t>
  </si>
  <si>
    <t>план
до 15.07.2016г.</t>
  </si>
  <si>
    <t>План
с 15.07.2016г.</t>
  </si>
  <si>
    <t>Сырье и материалы</t>
  </si>
  <si>
    <t>Запчасти</t>
  </si>
  <si>
    <t>Затраты на оплату труда, всего в том числе</t>
  </si>
  <si>
    <t>Соц.отчисл./страхование</t>
  </si>
  <si>
    <t>3</t>
  </si>
  <si>
    <t>4</t>
  </si>
  <si>
    <t>Текущий ремонт</t>
  </si>
  <si>
    <t>Обязательное срахование ГПО</t>
  </si>
  <si>
    <t>Обязательные виды страхования автотранспорта</t>
  </si>
  <si>
    <t>Техосмотр</t>
  </si>
  <si>
    <t>Услуги связи</t>
  </si>
  <si>
    <t>Охрана труда и техника безопасности</t>
  </si>
  <si>
    <t>Госпошлина</t>
  </si>
  <si>
    <t>5.8.1</t>
  </si>
  <si>
    <t>Возмещение затрат за тех.обслуж. КТП</t>
  </si>
  <si>
    <t>5.8.2</t>
  </si>
  <si>
    <t>5.8.3</t>
  </si>
  <si>
    <t>разработка ПДС</t>
  </si>
  <si>
    <t>Расходы на оплату труда, всего</t>
  </si>
  <si>
    <t>Заработная плата административного персонала</t>
  </si>
  <si>
    <t>Прочие расходы, всего, в том числе</t>
  </si>
  <si>
    <t>Возмещение затрат по налогу на имущество</t>
  </si>
  <si>
    <t>7.3</t>
  </si>
  <si>
    <t>Возмещение затрат по транспортному налогу</t>
  </si>
  <si>
    <t>7.4</t>
  </si>
  <si>
    <t>Возмещение затрат по земельному налогу</t>
  </si>
  <si>
    <t>7.5</t>
  </si>
  <si>
    <t>Налог на охрану окружающей среды</t>
  </si>
  <si>
    <t>7.6</t>
  </si>
  <si>
    <t>7.7</t>
  </si>
  <si>
    <t>7.8</t>
  </si>
  <si>
    <t>Страхование автотранспорта</t>
  </si>
  <si>
    <t>7.9</t>
  </si>
  <si>
    <t>Канцелярские товары</t>
  </si>
  <si>
    <t>7.10</t>
  </si>
  <si>
    <t>7.11</t>
  </si>
  <si>
    <t>Подписка/периодическая печать</t>
  </si>
  <si>
    <t>7.12</t>
  </si>
  <si>
    <t>Содержание компьютерной техники</t>
  </si>
  <si>
    <t>7.13</t>
  </si>
  <si>
    <t>Холодное водоснабжение</t>
  </si>
  <si>
    <t>7.14</t>
  </si>
  <si>
    <t>7.15</t>
  </si>
  <si>
    <t>Аудиторские расходы</t>
  </si>
  <si>
    <t>7.16</t>
  </si>
  <si>
    <t>7.17</t>
  </si>
  <si>
    <t>Отопление</t>
  </si>
  <si>
    <t>7.18.1</t>
  </si>
  <si>
    <t>7.18.2</t>
  </si>
  <si>
    <t>оценка движимого имущества автомобиля</t>
  </si>
  <si>
    <t>7.18.3</t>
  </si>
  <si>
    <t>списание телефонного аппарата</t>
  </si>
  <si>
    <t>7.18.4</t>
  </si>
  <si>
    <t>изготовление печати</t>
  </si>
  <si>
    <t>7.18.5</t>
  </si>
  <si>
    <t>услуги нотариуса</t>
  </si>
  <si>
    <t>7.18.6</t>
  </si>
  <si>
    <t>Госпошлина для подачи иска в суд</t>
  </si>
  <si>
    <t>7.18.7</t>
  </si>
  <si>
    <t>Подготовка и формление исх.докум.</t>
  </si>
  <si>
    <t>Возмещение убытка потребителю</t>
  </si>
  <si>
    <t>Доход  ( от подачи воды )</t>
  </si>
  <si>
    <t>Прочие доходы ( пеня за неисполнение условий договора )</t>
  </si>
  <si>
    <t>X</t>
  </si>
  <si>
    <t>11/13</t>
  </si>
  <si>
    <t>XI</t>
  </si>
  <si>
    <t>0,149/0,161/0,22</t>
  </si>
  <si>
    <t>0,148/0,161/0,22</t>
  </si>
  <si>
    <t>XII</t>
  </si>
  <si>
    <t>XIII</t>
  </si>
  <si>
    <t>Разница между утвержденным компенсирую-щим тарифом</t>
  </si>
  <si>
    <t>Каратал до 15.07.2016г.
(по компенсир.тарифу)</t>
  </si>
  <si>
    <t>Старый Кушук до 15.07.2016г.</t>
  </si>
  <si>
    <t>с 15.07.2016г. и до конца вегетационного периода</t>
  </si>
  <si>
    <t>М.Абдуалиев</t>
  </si>
  <si>
    <t>Приказ ДКРЕМиЗК по АО
№403-ОД от 27.11.2015г.</t>
  </si>
  <si>
    <t>Приказ ДКРЕМиЗК по АО
№87-ОД от 26.04.2016г.
(ввод в действие с 01.06.2016г.)</t>
  </si>
  <si>
    <t>факт
с 01.06.2016г. по 31.08.2016г.</t>
  </si>
  <si>
    <t>Общий
план
на 2016 год</t>
  </si>
  <si>
    <t>Фактически сложившиеся показатели за 8 месяцев 2016г.</t>
  </si>
  <si>
    <t>Факт
за сентябрь месяц</t>
  </si>
  <si>
    <t xml:space="preserve">план до 01.06.2016г. </t>
  </si>
  <si>
    <t>план
с 01.09.2016г.</t>
  </si>
  <si>
    <t>Затраты на производство товаров и предоставление услуг, всего, в т.ч.:</t>
  </si>
  <si>
    <t>заработная плата производственного персонала</t>
  </si>
  <si>
    <t>Ремонт, всего, в т. ч.:</t>
  </si>
  <si>
    <t xml:space="preserve">Капитальный ремонт, не приводящий к увеличению стоимости основных фондов </t>
  </si>
  <si>
    <t>5</t>
  </si>
  <si>
    <t>возмещение затрат на услуги связи</t>
  </si>
  <si>
    <t>ТБ и ОТ</t>
  </si>
  <si>
    <t>Возмещение земельного налога</t>
  </si>
  <si>
    <t>Прибыль (убыток)</t>
  </si>
  <si>
    <t>Объем оказываемых услуг (товаров, работ):</t>
  </si>
  <si>
    <t>до 01.06.2016</t>
  </si>
  <si>
    <t>с 01.06.2016 по 31.08.2016</t>
  </si>
  <si>
    <t>с 01.09.2016</t>
  </si>
  <si>
    <t>26/25</t>
  </si>
  <si>
    <t>26/26</t>
  </si>
  <si>
    <t>26/27</t>
  </si>
  <si>
    <t>производственного</t>
  </si>
  <si>
    <t>административного</t>
  </si>
  <si>
    <t>8</t>
  </si>
  <si>
    <t>8.1</t>
  </si>
  <si>
    <t>8.2</t>
  </si>
  <si>
    <t>с 01.09.2016г. до конца вегетационного периода (по компенсир.тарифу)</t>
  </si>
  <si>
    <t>Итого</t>
  </si>
  <si>
    <t>С.Мухамадиев</t>
  </si>
  <si>
    <t>Приказ ДКРЕМиЗК по АО
№404-ОД от 27.11.15г.</t>
  </si>
  <si>
    <t>Приказ ДКРЕМиЗК по АО
№85-ОД от 26.04.16г. с вводом в действие с 01.06.2016г.</t>
  </si>
  <si>
    <t>Общий план
на 2016г.</t>
  </si>
  <si>
    <t>Факт</t>
  </si>
  <si>
    <t xml:space="preserve">предусмотрено в утвержденной тарифной смете
</t>
  </si>
  <si>
    <t>план
до 01.06.2016г.</t>
  </si>
  <si>
    <t>план
с 01.06.2016г.</t>
  </si>
  <si>
    <t>с 01.06.2016г. по 31.08.2016г.</t>
  </si>
  <si>
    <t>за 8 месяцев</t>
  </si>
  <si>
    <t>Запасные части</t>
  </si>
  <si>
    <t>Электроэнергия</t>
  </si>
  <si>
    <t>Прочие затраты, всего в том числе</t>
  </si>
  <si>
    <t>возмещение платы за загрязнение окружающей среды</t>
  </si>
  <si>
    <t>Прочие затраты, всего, в том числе:</t>
  </si>
  <si>
    <t xml:space="preserve">Канцелярские товары </t>
  </si>
  <si>
    <t>индекс</t>
  </si>
  <si>
    <t>23/21%</t>
  </si>
  <si>
    <t>0,23/0,21</t>
  </si>
  <si>
    <t>0,114/0,320</t>
  </si>
  <si>
    <t>Среднесписочная численность, всего</t>
  </si>
  <si>
    <t xml:space="preserve">Наименование 
показателей
</t>
  </si>
  <si>
    <t xml:space="preserve">Ед. 
изм.
</t>
  </si>
  <si>
    <t>Предусмотрено в утвержденной тарифной смете №206-ОД от 26.05.15г.
(12 мес.)</t>
  </si>
  <si>
    <t>План на 2016 год (по объему услуг)</t>
  </si>
  <si>
    <t xml:space="preserve">Сырье и материалы </t>
  </si>
  <si>
    <t xml:space="preserve">Топливо </t>
  </si>
  <si>
    <t xml:space="preserve">Покупная энергия </t>
  </si>
  <si>
    <t xml:space="preserve">Заработная плата производственного персонала </t>
  </si>
  <si>
    <t xml:space="preserve">Текущий  ремонт, не приводящий к увеличению стоимости основных фондов </t>
  </si>
  <si>
    <t>Расходы на ремонт и обслуживание оргтехники</t>
  </si>
  <si>
    <t>5.6.1</t>
  </si>
  <si>
    <t>Ремонт и обслуживание транспорта</t>
  </si>
  <si>
    <t>5.6.2</t>
  </si>
  <si>
    <t xml:space="preserve">Расходы периода, всего, в т.ч. </t>
  </si>
  <si>
    <t>Заработная плата АУП</t>
  </si>
  <si>
    <t>Социальное отчисление</t>
  </si>
  <si>
    <t>Плата за эмиссии в окружающую среду</t>
  </si>
  <si>
    <t>Налог на имущество</t>
  </si>
  <si>
    <t>Возмещение затрат по имущественному налогу</t>
  </si>
  <si>
    <t xml:space="preserve">Расходы на периодическую печать </t>
  </si>
  <si>
    <t>7.13.1</t>
  </si>
  <si>
    <t>7.13.2</t>
  </si>
  <si>
    <t>7.13.3</t>
  </si>
  <si>
    <t>7.13.4</t>
  </si>
  <si>
    <t>7.13.5</t>
  </si>
  <si>
    <t>Разработка методики</t>
  </si>
  <si>
    <t xml:space="preserve">Всего затрат на предоставление услуг </t>
  </si>
  <si>
    <t>Доход (без НДС)</t>
  </si>
  <si>
    <t xml:space="preserve">Объем оказываемых услуг
(товаров, работ) </t>
  </si>
  <si>
    <t>Нормативные технические потери</t>
  </si>
  <si>
    <t>Индекс</t>
  </si>
  <si>
    <t xml:space="preserve"> </t>
  </si>
  <si>
    <t>9</t>
  </si>
  <si>
    <t>9.1</t>
  </si>
  <si>
    <t>до 01.07.2016г.</t>
  </si>
  <si>
    <t>Итого за 2016 год</t>
  </si>
  <si>
    <t>Наименование 
показателей</t>
  </si>
  <si>
    <t>Ед. 
изм.</t>
  </si>
  <si>
    <t>Приказ №387-ОД от 27.11.2015г., согласовано письмом
№04-17-1/619 от 28.03.2016г.</t>
  </si>
  <si>
    <t>Приказ
№129-ОД от 21.06.2016г.
с 5.07.16г.</t>
  </si>
  <si>
    <t>Общий план
на 2016 год</t>
  </si>
  <si>
    <t>По плану развития на 2016 год</t>
  </si>
  <si>
    <t>предусмот-рено</t>
  </si>
  <si>
    <t>план до 05.07.2016г.</t>
  </si>
  <si>
    <t>утверждено</t>
  </si>
  <si>
    <t>план
с 05.07.2016г. до конца вегетационного периода</t>
  </si>
  <si>
    <t>1.5.1</t>
  </si>
  <si>
    <t>1.5.2</t>
  </si>
  <si>
    <t>Возмещение затрат по приобретению зап.частей</t>
  </si>
  <si>
    <t>Ремонт, всего</t>
  </si>
  <si>
    <t>Услуги по предоставлению гидром.информ</t>
  </si>
  <si>
    <t>Другие расходы,всего</t>
  </si>
  <si>
    <t>Тех.осмотр автотранспорта</t>
  </si>
  <si>
    <t>Ремонт служебного автотранспорта</t>
  </si>
  <si>
    <t>гос.пошлина за подачу иска в суд</t>
  </si>
  <si>
    <t>Подготовка и оформление исходной документации</t>
  </si>
  <si>
    <t>Налоги</t>
  </si>
  <si>
    <t>8.3</t>
  </si>
  <si>
    <t>8.4</t>
  </si>
  <si>
    <t>8.5</t>
  </si>
  <si>
    <t>8.6</t>
  </si>
  <si>
    <t>Прибыль</t>
  </si>
  <si>
    <t>до 30.06.2016г.</t>
  </si>
  <si>
    <t>с 01.07 по 04.07.2016г.</t>
  </si>
  <si>
    <t>с 05.07 до 01.10.2016г.</t>
  </si>
  <si>
    <t xml:space="preserve">VI </t>
  </si>
  <si>
    <t>0,318/0,46</t>
  </si>
  <si>
    <t>Справочно на 2016 год:</t>
  </si>
  <si>
    <t>9.2</t>
  </si>
  <si>
    <t>№ п\п</t>
  </si>
  <si>
    <t>Приказ №323-ОД
от 29.11.12г. (согласован письмом ДКРЕМиЗК по АО
№04-17-1/619 от 28.03.2016г.)</t>
  </si>
  <si>
    <t>План до 01.10.2016г.</t>
  </si>
  <si>
    <t>с НДС</t>
  </si>
  <si>
    <t>без НДС</t>
  </si>
  <si>
    <t>Затраты на производство товаров и предоставление услуг, всего:</t>
  </si>
  <si>
    <t>Материальные затраты, всего, в том числе:</t>
  </si>
  <si>
    <t>социальное страхование</t>
  </si>
  <si>
    <t xml:space="preserve">аттестация гидропостов </t>
  </si>
  <si>
    <t>охрана труда и техника безопасности</t>
  </si>
  <si>
    <t>тыс тенге</t>
  </si>
  <si>
    <t xml:space="preserve">Налоговые платежи и сборы, всего </t>
  </si>
  <si>
    <t>Расходы периода</t>
  </si>
  <si>
    <t>Общие и административные, всего в том числе:</t>
  </si>
  <si>
    <t>заработная плата административного персонала</t>
  </si>
  <si>
    <t>социальное отчисления</t>
  </si>
  <si>
    <t>возмещение затрат по налогу на имущество</t>
  </si>
  <si>
    <t>возмещение затрат по земельному налогу</t>
  </si>
  <si>
    <t>Нормативно-технические потери</t>
  </si>
  <si>
    <t>Тариф (с НДС)</t>
  </si>
  <si>
    <t>Среднесписочная численность работников, всего в том числе:</t>
  </si>
  <si>
    <t>Производственного персонала</t>
  </si>
  <si>
    <t>Административного персонала</t>
  </si>
  <si>
    <t xml:space="preserve">Среднемесячная заработная плата, всего в том числе: </t>
  </si>
  <si>
    <t>Утверждено Приказом №411-ОД от 27.11.2015г. (с НДС)</t>
  </si>
  <si>
    <t>Утверждено Приказом №411-ОД от 27.11.2015г. (без НДС)</t>
  </si>
  <si>
    <t>План до 14.07.2016г. (по объему)</t>
  </si>
  <si>
    <t>Факт до 14.07.2016г.</t>
  </si>
  <si>
    <t>Утверждено Приказом №130-ОД от 21.06.2016г.</t>
  </si>
  <si>
    <t>План
(с 15.07.2016г. до конца года)</t>
  </si>
  <si>
    <t xml:space="preserve">согласован письмом ДКРЕМиЗК по АО №04-17-1/619 от 28.03.2016г. </t>
  </si>
  <si>
    <t>Заработная плата производственного персонала</t>
  </si>
  <si>
    <t>Обязательное страхование автотранспорта</t>
  </si>
  <si>
    <t>Аренда автотранспорта</t>
  </si>
  <si>
    <t xml:space="preserve">Расходы периода всего, в т.ч. </t>
  </si>
  <si>
    <t>5.1.1</t>
  </si>
  <si>
    <t>5.1.2</t>
  </si>
  <si>
    <t>5.1.3</t>
  </si>
  <si>
    <t xml:space="preserve">Хоз.товары </t>
  </si>
  <si>
    <t xml:space="preserve">Расходы на содержание и обслуживание компьютерной техники </t>
  </si>
  <si>
    <t>5.4.1</t>
  </si>
  <si>
    <t>5.4.2</t>
  </si>
  <si>
    <t>5.4.3</t>
  </si>
  <si>
    <t>5.4.4</t>
  </si>
  <si>
    <t xml:space="preserve">Объем оказываемых 
услуг (товаров, работ) </t>
  </si>
  <si>
    <t>26,5/24</t>
  </si>
  <si>
    <t>0,276/0,41</t>
  </si>
  <si>
    <t>Производственного</t>
  </si>
  <si>
    <t>Административного</t>
  </si>
  <si>
    <t>Утвержденная тарифная смета
№ 405-ОД от 27.11.2015 года</t>
  </si>
  <si>
    <t>План до 01.06.</t>
  </si>
  <si>
    <t>Утвержденная тарифная смета
№ 187-ОД от 21.07.2016 года</t>
  </si>
  <si>
    <t>План с 01.06.</t>
  </si>
  <si>
    <t xml:space="preserve">Общая тарифная смета
</t>
  </si>
  <si>
    <t xml:space="preserve">январь              </t>
  </si>
  <si>
    <t xml:space="preserve">февраль          </t>
  </si>
  <si>
    <t xml:space="preserve">март                  </t>
  </si>
  <si>
    <t>Фактически сложившися показатели за 
I квартал  2016 г</t>
  </si>
  <si>
    <t>апрель</t>
  </si>
  <si>
    <t>май</t>
  </si>
  <si>
    <t>июнь</t>
  </si>
  <si>
    <t xml:space="preserve">Фактически сложившися показатели за 
I полугодие  2016 г         </t>
  </si>
  <si>
    <t xml:space="preserve">июль
</t>
  </si>
  <si>
    <t xml:space="preserve">август
</t>
  </si>
  <si>
    <t xml:space="preserve">сентябрь
</t>
  </si>
  <si>
    <t>2.2.</t>
  </si>
  <si>
    <t>2.3.</t>
  </si>
  <si>
    <t>4.2</t>
  </si>
  <si>
    <t>4.3</t>
  </si>
  <si>
    <t>4.4</t>
  </si>
  <si>
    <t>4.5</t>
  </si>
  <si>
    <t>тех.осмотр</t>
  </si>
  <si>
    <t>4.6</t>
  </si>
  <si>
    <t>Содержание гуж.транспорта</t>
  </si>
  <si>
    <t>4.7</t>
  </si>
  <si>
    <t>Услуги стороних организаций 
и привлеченных лиц</t>
  </si>
  <si>
    <t>4.7.1</t>
  </si>
  <si>
    <t>4.7.2</t>
  </si>
  <si>
    <t>предоставление гидрометрологической информации</t>
  </si>
  <si>
    <t>4.7.3</t>
  </si>
  <si>
    <t>4.8</t>
  </si>
  <si>
    <t>Общие административные расходы, всего</t>
  </si>
  <si>
    <t>в том числе:</t>
  </si>
  <si>
    <t>периодическая печать публикации в СМИ</t>
  </si>
  <si>
    <t>Налоговые платежи и сборы всего,
 в том числе</t>
  </si>
  <si>
    <t>налог на транспорт</t>
  </si>
  <si>
    <t xml:space="preserve">возмещение имущественного налога </t>
  </si>
  <si>
    <t>5.4.5</t>
  </si>
  <si>
    <t xml:space="preserve">возмещение земельного налога </t>
  </si>
  <si>
    <t>5.4.6</t>
  </si>
  <si>
    <t xml:space="preserve">возмещение транспортного налога </t>
  </si>
  <si>
    <t>5.5.1</t>
  </si>
  <si>
    <t>5.5.2</t>
  </si>
  <si>
    <t>5.5.3</t>
  </si>
  <si>
    <t>5.5.4</t>
  </si>
  <si>
    <t>Обслуживание и содержание оргтехники</t>
  </si>
  <si>
    <t>5.5.5</t>
  </si>
  <si>
    <t>Прибыль+  ( убыток - )</t>
  </si>
  <si>
    <t>Недоисполнение тарифной сметы, с учетом ставки рефинансирования</t>
  </si>
  <si>
    <t>0,239/0,210</t>
  </si>
  <si>
    <t>0,234/0,211</t>
  </si>
  <si>
    <t>Керимкулов Т.А</t>
  </si>
  <si>
    <t>Джумагулов Б.А</t>
  </si>
  <si>
    <t>Административный штраф</t>
  </si>
  <si>
    <t>подготовка и оформление исх.докум.</t>
  </si>
  <si>
    <t>Пеня по плате за пользование водными ресурсами</t>
  </si>
  <si>
    <t xml:space="preserve">Административный штраф </t>
  </si>
  <si>
    <t>Отклонения, тыс.тенге</t>
  </si>
  <si>
    <t>Отклонения,%</t>
  </si>
  <si>
    <t>Причины отклонения</t>
  </si>
  <si>
    <t>Отклонения,
%</t>
  </si>
  <si>
    <t>А. Тореханова</t>
  </si>
  <si>
    <t>Отклонения</t>
  </si>
  <si>
    <t>Утверждено уполномоченным органом</t>
  </si>
  <si>
    <t xml:space="preserve">Отклонения </t>
  </si>
  <si>
    <t>Отклонения, %</t>
  </si>
  <si>
    <t xml:space="preserve">С.Мухамадиев </t>
  </si>
  <si>
    <t xml:space="preserve">Электроэнергия </t>
  </si>
  <si>
    <t>Выплаты, в случаях, когда постоянная работа протекает в пути или имеет разъездной характер</t>
  </si>
  <si>
    <t>Среднесписочная численность персонала, всего, в т.ч.:</t>
  </si>
  <si>
    <t>25</t>
  </si>
  <si>
    <t>Отклонения,
тыс.тенге</t>
  </si>
  <si>
    <t>Отклонения,тыс.тенге</t>
  </si>
  <si>
    <t xml:space="preserve">Директор Алматинского филиала РГП "Казводхоз" КВР МСХ РК </t>
  </si>
  <si>
    <t xml:space="preserve">Директор  Алматинского филиала РГП "Казводхоз" КВР МСХ РК                         </t>
  </si>
  <si>
    <t xml:space="preserve">Директор Алматинского филиала РГП "Казводхоз" КВР МСХ РК  </t>
  </si>
  <si>
    <t xml:space="preserve">Директор Алматинского филиала РГП "Казводхоз" КВР МСХ РК                                                       </t>
  </si>
  <si>
    <t>Доход</t>
  </si>
  <si>
    <t>Социальное страхование</t>
  </si>
  <si>
    <t>Возмещение затрат на коммунальные услуги</t>
  </si>
  <si>
    <t xml:space="preserve">Расходы периода  всего, в т.ч. </t>
  </si>
  <si>
    <t>А.Тореханова</t>
  </si>
  <si>
    <t>0,210/0,275</t>
  </si>
  <si>
    <t>7.13.6</t>
  </si>
  <si>
    <t>пеня по соц.отчислениям</t>
  </si>
  <si>
    <t>топливо</t>
  </si>
  <si>
    <t>Таррировка гидрометрических вертушек</t>
  </si>
  <si>
    <t>плата за эмиссию в окружающую среду</t>
  </si>
  <si>
    <t>возмещение налога на транспорт</t>
  </si>
  <si>
    <t>земельный налог</t>
  </si>
  <si>
    <t>технический осмотр автотранспорта</t>
  </si>
  <si>
    <t>подписка периодической печати</t>
  </si>
  <si>
    <t>расходы на содержание и обслуживание компьютерной техники</t>
  </si>
  <si>
    <t xml:space="preserve">Объем оказываемых услуг </t>
  </si>
  <si>
    <t>затраты на отопление (уголь)</t>
  </si>
  <si>
    <t>страхования автотранспорта</t>
  </si>
  <si>
    <t>8.7</t>
  </si>
  <si>
    <t>8.8</t>
  </si>
  <si>
    <t>расходы на содержание и обслуживание оргтехники</t>
  </si>
  <si>
    <t>Необоснованно полученный доход</t>
  </si>
  <si>
    <t>Отопление (уголь)</t>
  </si>
  <si>
    <t>подписка периодической печати и публикации в СМИ</t>
  </si>
  <si>
    <t>электроэнергию</t>
  </si>
  <si>
    <t>налог на землю</t>
  </si>
  <si>
    <t>подписка и публикация в СМИ</t>
  </si>
  <si>
    <t>Расходы на содержание и обслуживание орг.техники</t>
  </si>
  <si>
    <t>поставка тепловой энергии</t>
  </si>
  <si>
    <t>8.8.1</t>
  </si>
  <si>
    <t>8.8.2</t>
  </si>
  <si>
    <t>8.8.3</t>
  </si>
  <si>
    <t>8.8.4</t>
  </si>
  <si>
    <t>8.8.5</t>
  </si>
  <si>
    <t>8.8.6</t>
  </si>
  <si>
    <t>Покупная вода</t>
  </si>
  <si>
    <t>Расходы разъездного характера</t>
  </si>
  <si>
    <t>Технический осмотр автотранспорта</t>
  </si>
  <si>
    <t>Подписка периодической печати</t>
  </si>
  <si>
    <t>Центральное отопление</t>
  </si>
  <si>
    <t>22,8</t>
  </si>
  <si>
    <t xml:space="preserve">возмещение затрат по земельному налогу </t>
  </si>
  <si>
    <t>Пеня по пенсионным отчислениям</t>
  </si>
  <si>
    <t>гос.регистрация</t>
  </si>
  <si>
    <t>возмещение затрат по транспортному налогу</t>
  </si>
  <si>
    <t>Фактически сложившиеся показатели за 
4 месяца 2017г</t>
  </si>
  <si>
    <t>Фактически сложившися показатели за 
4 месяца 2017г</t>
  </si>
  <si>
    <t>Фактически сложившися показатели за 
4 месяца  2017г</t>
  </si>
  <si>
    <t>Фактически сложившиеся показатели за 
4 месяца        2017г</t>
  </si>
  <si>
    <t>Услуги по производству</t>
  </si>
  <si>
    <t xml:space="preserve">О ходе исполнениия тарифной сметы по Панфиловскому производственному участку Алматинского филиала </t>
  </si>
  <si>
    <t>будет исполнено до конца года</t>
  </si>
  <si>
    <r>
      <t>тыс.м</t>
    </r>
    <r>
      <rPr>
        <b/>
        <vertAlign val="superscript"/>
        <sz val="12"/>
        <rFont val="Times New Roman"/>
        <family val="1"/>
        <charset val="204"/>
      </rPr>
      <t>3</t>
    </r>
  </si>
  <si>
    <r>
      <t>тыс.м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</si>
  <si>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тенге\м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</si>
  <si>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t xml:space="preserve">Начальник отдела планирования 
и тарифообразования                                                                       </t>
  </si>
  <si>
    <t xml:space="preserve"> РГП "Казводхоз " КВР МСХ РК за 4 месяца 2017 года</t>
  </si>
  <si>
    <t>планируется освоение до конца года</t>
  </si>
  <si>
    <t>О ходе исполнения тарифной сметы по оказанию услуг подачи поливной воды
по каналам Каратальского ПУ АФ РГП "Казводхоз"
за 4 месяца 2017 года</t>
  </si>
  <si>
    <t>О ходе исполнения
тарифной сметы по оказанию услуг подачи поливной воды
по МК "Алмалы",  МК "Ащыбулак" АФ РГП "Казводхоз"
за 4 месяца 2017 года</t>
  </si>
  <si>
    <t>О ходе исполнения
тарифной сметы по оказанию услуг подачи поливной воды
по каналам Талдыкорганского производственного участка АФ РГП "Казводхоз"
за 4 месяца 2017 года</t>
  </si>
  <si>
    <t>О ходе исполнения
тарифной сметы по оказанию услуг подачи поливной воды
по каналам Уйгурского ПУ Алматинского филиала РГП "Казводхоз"
за 4 месяца 2017 года</t>
  </si>
  <si>
    <t xml:space="preserve">             О ходе исполнения тарифной сметы на оказание услуг по подаче поливной воды 
по каналам Ескельдинского  производственного участка
 Алматинского филиала РГП "Казводхоз"
за 4 месяца 2017 года</t>
  </si>
  <si>
    <t xml:space="preserve">О ходе исполнения тарифной  сметы 
на оказание услуг подачи поливной воды
по каналам Коксуского ПУ Алматинского филиала РГП "Казводхоз"
за 4 месяца 2017 года
</t>
  </si>
  <si>
    <t>О ходе исполнения
тарифной сметы по оказанию услуг подачи поливной воды
по каналам Алакольского ПУ Алматинского филиала РГП "Казводхоз"
за 4 месяца 2017 года</t>
  </si>
  <si>
    <t>О ходе исполнения тарифной сметы на услуги подачи воды по каналам 
Аксуского производственного участка 
Алматинского филиала РГП "Казводхоз" 
за 4 месяца 2017 года</t>
  </si>
  <si>
    <t>О ходе исполнения
тарифной сметы по оказанию услуг подачи поливной воды
по МК "Акешки" Алматинского филиала РГП "Казводхоз"
за 4 месяца 2017 года</t>
  </si>
  <si>
    <t>Начальник отдела водопользования</t>
  </si>
  <si>
    <t>Б.Абишев</t>
  </si>
  <si>
    <t xml:space="preserve">Ч.Чинтемирова </t>
  </si>
  <si>
    <t>Ч.Чинтемирова</t>
  </si>
  <si>
    <t xml:space="preserve">Начальник отдела водопользования </t>
  </si>
  <si>
    <t>Общие и административные расходы, всего, в том числе</t>
  </si>
  <si>
    <t>Ж.Жумабекова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</si>
</sst>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00"/>
    <numFmt numFmtId="167" formatCode="00"/>
    <numFmt numFmtId="168" formatCode="000"/>
    <numFmt numFmtId="169" formatCode="_(* #,##0.00_);_(* \(#,##0.00\);_(* &quot;-&quot;??_);_(@_)"/>
    <numFmt numFmtId="170" formatCode="\€#,##0;&quot;-€&quot;#,##0"/>
    <numFmt numFmtId="171" formatCode="#,##0.000"/>
    <numFmt numFmtId="172" formatCode="#,##0.0"/>
    <numFmt numFmtId="173" formatCode="0.0"/>
    <numFmt numFmtId="174" formatCode="d/m;@"/>
    <numFmt numFmtId="175" formatCode="0.0%"/>
  </numFmts>
  <fonts count="7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1"/>
      <color theme="1"/>
      <name val="Calibri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Tahoma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b/>
      <sz val="11"/>
      <name val="Calibri"/>
      <family val="2"/>
      <charset val="204"/>
    </font>
    <font>
      <sz val="12"/>
      <name val="宋体"/>
      <charset val="13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lightDown">
        <fgColor theme="5" tint="0.39994506668294322"/>
        <bgColor indexed="45"/>
      </patternFill>
    </fill>
    <fill>
      <patternFill patternType="lightDown">
        <fgColor indexed="29"/>
        <bgColor indexed="45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66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17">
    <xf numFmtId="0" fontId="0" fillId="0" borderId="0"/>
    <xf numFmtId="0" fontId="4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5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5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5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5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5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5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5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5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5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 applyNumberFormat="0" applyBorder="0" applyAlignment="0" applyProtection="0"/>
    <xf numFmtId="1" fontId="10" fillId="0" borderId="0">
      <alignment horizontal="center" vertical="top" wrapText="1"/>
    </xf>
    <xf numFmtId="167" fontId="10" fillId="0" borderId="6">
      <alignment horizontal="center" vertical="top" wrapText="1"/>
    </xf>
    <xf numFmtId="168" fontId="10" fillId="0" borderId="6">
      <alignment horizontal="center" vertical="top" wrapText="1"/>
    </xf>
    <xf numFmtId="168" fontId="10" fillId="0" borderId="6">
      <alignment horizontal="center" vertical="top" wrapText="1"/>
    </xf>
    <xf numFmtId="168" fontId="10" fillId="0" borderId="6">
      <alignment horizontal="center" vertical="top" wrapText="1"/>
    </xf>
    <xf numFmtId="1" fontId="10" fillId="0" borderId="0">
      <alignment horizontal="center" vertical="top" wrapText="1"/>
    </xf>
    <xf numFmtId="167" fontId="10" fillId="0" borderId="0">
      <alignment horizontal="center" vertical="top" wrapText="1"/>
    </xf>
    <xf numFmtId="168" fontId="10" fillId="0" borderId="0">
      <alignment horizontal="center" vertical="top" wrapText="1"/>
    </xf>
    <xf numFmtId="168" fontId="10" fillId="0" borderId="0">
      <alignment horizontal="center" vertical="top" wrapText="1"/>
    </xf>
    <xf numFmtId="168" fontId="10" fillId="0" borderId="0">
      <alignment horizontal="center" vertical="top" wrapText="1"/>
    </xf>
    <xf numFmtId="0" fontId="10" fillId="0" borderId="0">
      <alignment horizontal="left" vertical="top" wrapText="1"/>
    </xf>
    <xf numFmtId="0" fontId="10" fillId="0" borderId="0">
      <alignment horizontal="left" vertical="top" wrapText="1"/>
    </xf>
    <xf numFmtId="0" fontId="8" fillId="0" borderId="0"/>
    <xf numFmtId="0" fontId="10" fillId="0" borderId="6">
      <alignment horizontal="left" vertical="top"/>
    </xf>
    <xf numFmtId="0" fontId="10" fillId="0" borderId="4">
      <alignment horizontal="center" vertical="top" wrapText="1"/>
    </xf>
    <xf numFmtId="0" fontId="10" fillId="0" borderId="0">
      <alignment horizontal="left" vertical="top"/>
    </xf>
    <xf numFmtId="0" fontId="10" fillId="0" borderId="7">
      <alignment horizontal="left" vertical="top"/>
    </xf>
    <xf numFmtId="0" fontId="11" fillId="18" borderId="6">
      <alignment horizontal="left" vertical="top" wrapText="1"/>
    </xf>
    <xf numFmtId="0" fontId="11" fillId="18" borderId="6">
      <alignment horizontal="left" vertical="top" wrapText="1"/>
    </xf>
    <xf numFmtId="0" fontId="12" fillId="0" borderId="6">
      <alignment horizontal="left" vertical="top" wrapText="1"/>
    </xf>
    <xf numFmtId="0" fontId="10" fillId="0" borderId="6">
      <alignment horizontal="left" vertical="top" wrapText="1"/>
    </xf>
    <xf numFmtId="0" fontId="13" fillId="0" borderId="6">
      <alignment horizontal="left" vertical="top" wrapText="1"/>
    </xf>
    <xf numFmtId="0" fontId="14" fillId="0" borderId="0"/>
    <xf numFmtId="0" fontId="15" fillId="0" borderId="0"/>
    <xf numFmtId="0" fontId="16" fillId="0" borderId="0"/>
    <xf numFmtId="0" fontId="17" fillId="0" borderId="0">
      <alignment horizontal="left" vertical="top"/>
    </xf>
    <xf numFmtId="0" fontId="18" fillId="0" borderId="0">
      <alignment horizontal="left" vertical="top"/>
    </xf>
    <xf numFmtId="0" fontId="17" fillId="0" borderId="0">
      <alignment horizontal="right" vertical="top"/>
    </xf>
    <xf numFmtId="0" fontId="18" fillId="0" borderId="0">
      <alignment horizontal="right" vertical="top"/>
    </xf>
    <xf numFmtId="0" fontId="19" fillId="0" borderId="0">
      <alignment horizontal="right" vertical="top"/>
    </xf>
    <xf numFmtId="0" fontId="19" fillId="0" borderId="0">
      <alignment horizontal="right" vertical="top"/>
    </xf>
    <xf numFmtId="0" fontId="20" fillId="0" borderId="0">
      <alignment horizontal="center" vertical="center"/>
    </xf>
    <xf numFmtId="0" fontId="18" fillId="0" borderId="0">
      <alignment horizontal="center" vertical="top"/>
    </xf>
    <xf numFmtId="0" fontId="20" fillId="0" borderId="0">
      <alignment horizontal="center" vertical="center" textRotation="90"/>
    </xf>
    <xf numFmtId="0" fontId="17" fillId="0" borderId="0">
      <alignment horizontal="left" vertical="top"/>
    </xf>
    <xf numFmtId="0" fontId="21" fillId="0" borderId="0">
      <alignment horizontal="left" vertical="top"/>
    </xf>
    <xf numFmtId="0" fontId="17" fillId="0" borderId="0">
      <alignment horizontal="right" vertical="top"/>
    </xf>
    <xf numFmtId="0" fontId="20" fillId="0" borderId="0">
      <alignment horizontal="center" vertical="center"/>
    </xf>
    <xf numFmtId="0" fontId="21" fillId="0" borderId="0">
      <alignment horizontal="left" vertical="top"/>
    </xf>
    <xf numFmtId="0" fontId="20" fillId="0" borderId="0">
      <alignment horizontal="center" vertical="center"/>
    </xf>
    <xf numFmtId="0" fontId="19" fillId="0" borderId="0">
      <alignment horizontal="left" vertical="top"/>
    </xf>
    <xf numFmtId="0" fontId="19" fillId="0" borderId="0">
      <alignment horizontal="left" vertical="top"/>
    </xf>
    <xf numFmtId="0" fontId="20" fillId="0" borderId="0">
      <alignment horizontal="center" vertical="center" textRotation="90"/>
    </xf>
    <xf numFmtId="0" fontId="20" fillId="0" borderId="0">
      <alignment horizontal="right" vertical="top"/>
    </xf>
    <xf numFmtId="0" fontId="20" fillId="0" borderId="0">
      <alignment horizontal="left" vertical="top"/>
    </xf>
    <xf numFmtId="0" fontId="22" fillId="0" borderId="0">
      <alignment horizontal="left" vertical="top"/>
    </xf>
    <xf numFmtId="0" fontId="19" fillId="0" borderId="0">
      <alignment horizontal="left" vertical="top"/>
    </xf>
    <xf numFmtId="0" fontId="22" fillId="0" borderId="0">
      <alignment horizontal="right" vertical="top"/>
    </xf>
    <xf numFmtId="0" fontId="20" fillId="0" borderId="0">
      <alignment horizontal="right" vertical="top"/>
    </xf>
    <xf numFmtId="0" fontId="21" fillId="0" borderId="0">
      <alignment horizontal="right" vertical="top"/>
    </xf>
    <xf numFmtId="0" fontId="23" fillId="0" borderId="0">
      <alignment horizontal="center" vertical="top"/>
    </xf>
    <xf numFmtId="0" fontId="10" fillId="0" borderId="8">
      <alignment horizontal="center" textRotation="90" wrapText="1"/>
    </xf>
    <xf numFmtId="0" fontId="10" fillId="0" borderId="8">
      <alignment horizontal="center" vertical="center" wrapText="1"/>
    </xf>
    <xf numFmtId="1" fontId="24" fillId="0" borderId="0">
      <alignment horizontal="center" vertical="top" wrapText="1"/>
    </xf>
    <xf numFmtId="167" fontId="24" fillId="0" borderId="6">
      <alignment horizontal="center" vertical="top" wrapText="1"/>
    </xf>
    <xf numFmtId="168" fontId="24" fillId="0" borderId="6">
      <alignment horizontal="center" vertical="top" wrapText="1"/>
    </xf>
    <xf numFmtId="168" fontId="24" fillId="0" borderId="6">
      <alignment horizontal="center" vertical="top" wrapText="1"/>
    </xf>
    <xf numFmtId="168" fontId="24" fillId="0" borderId="6">
      <alignment horizontal="center" vertical="top" wrapText="1"/>
    </xf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22" borderId="0" applyNumberFormat="0" applyBorder="0" applyAlignment="0" applyProtection="0"/>
    <xf numFmtId="0" fontId="25" fillId="9" borderId="9" applyNumberFormat="0" applyAlignment="0" applyProtection="0"/>
    <xf numFmtId="0" fontId="25" fillId="9" borderId="9" applyNumberFormat="0" applyAlignment="0" applyProtection="0"/>
    <xf numFmtId="0" fontId="9" fillId="9" borderId="9" applyNumberFormat="0" applyAlignment="0" applyProtection="0"/>
    <xf numFmtId="0" fontId="25" fillId="9" borderId="9" applyNumberFormat="0" applyAlignment="0" applyProtection="0"/>
    <xf numFmtId="0" fontId="9" fillId="9" borderId="9" applyNumberFormat="0" applyAlignment="0" applyProtection="0"/>
    <xf numFmtId="0" fontId="9" fillId="9" borderId="9" applyNumberFormat="0" applyAlignment="0" applyProtection="0"/>
    <xf numFmtId="0" fontId="9" fillId="9" borderId="9" applyNumberFormat="0" applyAlignment="0" applyProtection="0"/>
    <xf numFmtId="0" fontId="25" fillId="9" borderId="9" applyNumberFormat="0" applyAlignment="0" applyProtection="0"/>
    <xf numFmtId="0" fontId="25" fillId="9" borderId="9" applyNumberFormat="0" applyAlignment="0" applyProtection="0"/>
    <xf numFmtId="0" fontId="25" fillId="9" borderId="9" applyNumberFormat="0" applyAlignment="0" applyProtection="0"/>
    <xf numFmtId="0" fontId="26" fillId="23" borderId="10" applyNumberFormat="0" applyAlignment="0" applyProtection="0"/>
    <xf numFmtId="0" fontId="26" fillId="23" borderId="10" applyNumberFormat="0" applyAlignment="0" applyProtection="0"/>
    <xf numFmtId="0" fontId="25" fillId="23" borderId="10" applyNumberFormat="0" applyAlignment="0" applyProtection="0"/>
    <xf numFmtId="0" fontId="26" fillId="23" borderId="10" applyNumberFormat="0" applyAlignment="0" applyProtection="0"/>
    <xf numFmtId="0" fontId="25" fillId="23" borderId="10" applyNumberFormat="0" applyAlignment="0" applyProtection="0"/>
    <xf numFmtId="0" fontId="25" fillId="23" borderId="10" applyNumberFormat="0" applyAlignment="0" applyProtection="0"/>
    <xf numFmtId="0" fontId="25" fillId="23" borderId="10" applyNumberFormat="0" applyAlignment="0" applyProtection="0"/>
    <xf numFmtId="0" fontId="26" fillId="23" borderId="10" applyNumberFormat="0" applyAlignment="0" applyProtection="0"/>
    <xf numFmtId="0" fontId="26" fillId="23" borderId="10" applyNumberFormat="0" applyAlignment="0" applyProtection="0"/>
    <xf numFmtId="0" fontId="26" fillId="23" borderId="10" applyNumberFormat="0" applyAlignment="0" applyProtection="0"/>
    <xf numFmtId="0" fontId="27" fillId="23" borderId="9" applyNumberFormat="0" applyAlignment="0" applyProtection="0"/>
    <xf numFmtId="0" fontId="27" fillId="23" borderId="9" applyNumberFormat="0" applyAlignment="0" applyProtection="0"/>
    <xf numFmtId="0" fontId="26" fillId="23" borderId="9" applyNumberFormat="0" applyAlignment="0" applyProtection="0"/>
    <xf numFmtId="0" fontId="27" fillId="23" borderId="9" applyNumberFormat="0" applyAlignment="0" applyProtection="0"/>
    <xf numFmtId="0" fontId="26" fillId="23" borderId="9" applyNumberFormat="0" applyAlignment="0" applyProtection="0"/>
    <xf numFmtId="0" fontId="26" fillId="23" borderId="9" applyNumberFormat="0" applyAlignment="0" applyProtection="0"/>
    <xf numFmtId="0" fontId="26" fillId="23" borderId="9" applyNumberFormat="0" applyAlignment="0" applyProtection="0"/>
    <xf numFmtId="0" fontId="27" fillId="23" borderId="9" applyNumberFormat="0" applyAlignment="0" applyProtection="0"/>
    <xf numFmtId="0" fontId="27" fillId="23" borderId="9" applyNumberFormat="0" applyAlignment="0" applyProtection="0"/>
    <xf numFmtId="0" fontId="27" fillId="23" borderId="9" applyNumberFormat="0" applyAlignment="0" applyProtection="0"/>
    <xf numFmtId="164" fontId="8" fillId="0" borderId="0" applyFont="0" applyFill="0" applyBorder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5" fillId="0" borderId="0"/>
    <xf numFmtId="0" fontId="32" fillId="24" borderId="15" applyNumberFormat="0" applyAlignment="0" applyProtection="0"/>
    <xf numFmtId="0" fontId="32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1" fillId="24" borderId="15" applyNumberFormat="0" applyAlignment="0" applyProtection="0"/>
    <xf numFmtId="0" fontId="32" fillId="24" borderId="15" applyNumberFormat="0" applyAlignment="0" applyProtection="0"/>
    <xf numFmtId="0" fontId="32" fillId="24" borderId="15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1" fillId="0" borderId="0"/>
    <xf numFmtId="0" fontId="1" fillId="0" borderId="0"/>
    <xf numFmtId="0" fontId="8" fillId="0" borderId="0"/>
    <xf numFmtId="0" fontId="4" fillId="0" borderId="0">
      <alignment horizontal="center"/>
    </xf>
    <xf numFmtId="0" fontId="4" fillId="0" borderId="0">
      <alignment horizontal="center"/>
    </xf>
    <xf numFmtId="0" fontId="35" fillId="0" borderId="0">
      <alignment horizontal="center"/>
    </xf>
    <xf numFmtId="0" fontId="4" fillId="0" borderId="0">
      <alignment horizontal="center"/>
    </xf>
    <xf numFmtId="0" fontId="35" fillId="0" borderId="0">
      <alignment horizontal="center"/>
    </xf>
    <xf numFmtId="0" fontId="8" fillId="0" borderId="0"/>
    <xf numFmtId="0" fontId="8" fillId="0" borderId="0"/>
    <xf numFmtId="0" fontId="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35" fillId="0" borderId="0">
      <alignment horizontal="center"/>
    </xf>
    <xf numFmtId="0" fontId="4" fillId="0" borderId="0">
      <alignment horizontal="center"/>
    </xf>
    <xf numFmtId="0" fontId="4" fillId="0" borderId="0"/>
    <xf numFmtId="0" fontId="8" fillId="0" borderId="0"/>
    <xf numFmtId="0" fontId="8" fillId="0" borderId="0"/>
    <xf numFmtId="0" fontId="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35" fillId="0" borderId="0">
      <alignment horizontal="center"/>
    </xf>
    <xf numFmtId="0" fontId="4" fillId="0" borderId="0">
      <alignment horizontal="center"/>
    </xf>
    <xf numFmtId="0" fontId="4" fillId="0" borderId="0"/>
    <xf numFmtId="0" fontId="8" fillId="0" borderId="0"/>
    <xf numFmtId="0" fontId="8" fillId="0" borderId="0"/>
    <xf numFmtId="0" fontId="4" fillId="0" borderId="0">
      <alignment horizontal="center"/>
    </xf>
    <xf numFmtId="0" fontId="4" fillId="0" borderId="0"/>
    <xf numFmtId="0" fontId="4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16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/>
    <xf numFmtId="0" fontId="4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/>
    <xf numFmtId="0" fontId="4" fillId="0" borderId="0"/>
    <xf numFmtId="0" fontId="1" fillId="0" borderId="0"/>
    <xf numFmtId="0" fontId="8" fillId="0" borderId="0"/>
    <xf numFmtId="0" fontId="4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1" fillId="0" borderId="0"/>
    <xf numFmtId="0" fontId="8" fillId="0" borderId="0"/>
    <xf numFmtId="0" fontId="35" fillId="0" borderId="0"/>
    <xf numFmtId="0" fontId="1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4" fillId="0" borderId="0">
      <alignment horizontal="center"/>
    </xf>
    <xf numFmtId="0" fontId="35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35" fillId="0" borderId="0"/>
    <xf numFmtId="0" fontId="4" fillId="0" borderId="0">
      <alignment horizontal="center"/>
    </xf>
    <xf numFmtId="0" fontId="35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/>
    <xf numFmtId="0" fontId="1" fillId="0" borderId="0"/>
    <xf numFmtId="0" fontId="8" fillId="0" borderId="0"/>
    <xf numFmtId="0" fontId="1" fillId="0" borderId="0"/>
    <xf numFmtId="0" fontId="36" fillId="0" borderId="0"/>
    <xf numFmtId="0" fontId="1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35" fillId="0" borderId="0">
      <alignment horizontal="center"/>
    </xf>
    <xf numFmtId="0" fontId="8" fillId="0" borderId="0"/>
    <xf numFmtId="0" fontId="4" fillId="0" borderId="0"/>
    <xf numFmtId="0" fontId="8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8" fillId="0" borderId="0"/>
    <xf numFmtId="0" fontId="4" fillId="0" borderId="0">
      <alignment horizontal="center"/>
    </xf>
    <xf numFmtId="0" fontId="4" fillId="0" borderId="0"/>
    <xf numFmtId="0" fontId="1" fillId="0" borderId="0"/>
    <xf numFmtId="0" fontId="1" fillId="0" borderId="0"/>
    <xf numFmtId="0" fontId="36" fillId="0" borderId="0"/>
    <xf numFmtId="0" fontId="8" fillId="0" borderId="0"/>
    <xf numFmtId="0" fontId="1" fillId="0" borderId="0"/>
    <xf numFmtId="0" fontId="37" fillId="0" borderId="0">
      <alignment horizontal="left"/>
    </xf>
    <xf numFmtId="0" fontId="8" fillId="0" borderId="0"/>
    <xf numFmtId="0" fontId="1" fillId="0" borderId="0"/>
    <xf numFmtId="0" fontId="8" fillId="0" borderId="0"/>
    <xf numFmtId="0" fontId="4" fillId="0" borderId="0"/>
    <xf numFmtId="0" fontId="8" fillId="0" borderId="0"/>
    <xf numFmtId="0" fontId="37" fillId="0" borderId="0">
      <alignment horizontal="left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35" fillId="0" borderId="0">
      <alignment horizontal="center"/>
    </xf>
    <xf numFmtId="0" fontId="4" fillId="0" borderId="0">
      <alignment horizontal="center"/>
    </xf>
    <xf numFmtId="0" fontId="37" fillId="0" borderId="0">
      <alignment horizontal="left"/>
    </xf>
    <xf numFmtId="0" fontId="8" fillId="0" borderId="0"/>
    <xf numFmtId="0" fontId="35" fillId="0" borderId="0">
      <alignment horizontal="center"/>
    </xf>
    <xf numFmtId="0" fontId="1" fillId="0" borderId="0"/>
    <xf numFmtId="0" fontId="1" fillId="0" borderId="0"/>
    <xf numFmtId="0" fontId="8" fillId="0" borderId="0"/>
    <xf numFmtId="0" fontId="4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/>
    <xf numFmtId="0" fontId="35" fillId="0" borderId="0">
      <alignment horizontal="center"/>
    </xf>
    <xf numFmtId="0" fontId="35" fillId="0" borderId="0"/>
    <xf numFmtId="0" fontId="35" fillId="0" borderId="0"/>
    <xf numFmtId="0" fontId="8" fillId="0" borderId="0"/>
    <xf numFmtId="0" fontId="37" fillId="0" borderId="0">
      <alignment horizontal="left"/>
    </xf>
    <xf numFmtId="0" fontId="35" fillId="0" borderId="0"/>
    <xf numFmtId="0" fontId="37" fillId="0" borderId="0">
      <alignment horizontal="left"/>
    </xf>
    <xf numFmtId="0" fontId="1" fillId="0" borderId="0"/>
    <xf numFmtId="0" fontId="8" fillId="0" borderId="0"/>
    <xf numFmtId="0" fontId="38" fillId="0" borderId="0"/>
    <xf numFmtId="0" fontId="4" fillId="0" borderId="0"/>
    <xf numFmtId="0" fontId="4" fillId="0" borderId="0"/>
    <xf numFmtId="0" fontId="35" fillId="0" borderId="0"/>
    <xf numFmtId="0" fontId="4" fillId="0" borderId="0">
      <alignment horizontal="center"/>
    </xf>
    <xf numFmtId="0" fontId="35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35" fillId="0" borderId="0"/>
    <xf numFmtId="0" fontId="4" fillId="0" borderId="0">
      <alignment horizontal="center"/>
    </xf>
    <xf numFmtId="0" fontId="35" fillId="0" borderId="0"/>
    <xf numFmtId="0" fontId="4" fillId="0" borderId="0">
      <alignment horizontal="center"/>
    </xf>
    <xf numFmtId="0" fontId="36" fillId="0" borderId="0"/>
    <xf numFmtId="0" fontId="36" fillId="0" borderId="0"/>
    <xf numFmtId="0" fontId="4" fillId="0" borderId="0">
      <alignment horizontal="center"/>
    </xf>
    <xf numFmtId="0" fontId="1" fillId="0" borderId="0"/>
    <xf numFmtId="0" fontId="1" fillId="0" borderId="0"/>
    <xf numFmtId="0" fontId="4" fillId="0" borderId="0">
      <alignment horizontal="center"/>
    </xf>
    <xf numFmtId="0" fontId="8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36" fillId="0" borderId="0"/>
    <xf numFmtId="0" fontId="36" fillId="0" borderId="0"/>
    <xf numFmtId="0" fontId="1" fillId="0" borderId="0"/>
    <xf numFmtId="0" fontId="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4" fillId="0" borderId="0"/>
    <xf numFmtId="0" fontId="1" fillId="0" borderId="0"/>
    <xf numFmtId="0" fontId="8" fillId="0" borderId="0"/>
    <xf numFmtId="0" fontId="4" fillId="0" borderId="0"/>
    <xf numFmtId="0" fontId="4" fillId="0" borderId="0"/>
    <xf numFmtId="0" fontId="35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8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37" fillId="0" borderId="0">
      <alignment horizontal="left"/>
    </xf>
    <xf numFmtId="0" fontId="37" fillId="0" borderId="0">
      <alignment horizontal="left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5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1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>
      <alignment horizontal="center"/>
    </xf>
    <xf numFmtId="0" fontId="4" fillId="0" borderId="0">
      <alignment horizontal="center"/>
    </xf>
    <xf numFmtId="0" fontId="35" fillId="0" borderId="0">
      <alignment horizontal="center"/>
    </xf>
    <xf numFmtId="0" fontId="37" fillId="0" borderId="0">
      <alignment horizontal="left"/>
    </xf>
    <xf numFmtId="0" fontId="37" fillId="0" borderId="0">
      <alignment horizontal="left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37" fillId="0" borderId="0">
      <alignment horizontal="left"/>
    </xf>
    <xf numFmtId="0" fontId="4" fillId="0" borderId="0">
      <alignment horizontal="center"/>
    </xf>
    <xf numFmtId="0" fontId="4" fillId="0" borderId="0">
      <alignment horizontal="center"/>
    </xf>
    <xf numFmtId="0" fontId="37" fillId="0" borderId="0">
      <alignment horizontal="left"/>
    </xf>
    <xf numFmtId="0" fontId="37" fillId="0" borderId="0">
      <alignment horizontal="left"/>
    </xf>
    <xf numFmtId="0" fontId="4" fillId="0" borderId="0"/>
    <xf numFmtId="0" fontId="4" fillId="0" borderId="0"/>
    <xf numFmtId="0" fontId="39" fillId="0" borderId="0">
      <alignment vertical="center"/>
    </xf>
    <xf numFmtId="0" fontId="39" fillId="0" borderId="0">
      <alignment vertical="center"/>
    </xf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8" fillId="0" borderId="0"/>
    <xf numFmtId="0" fontId="40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8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35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36" fillId="0" borderId="0"/>
    <xf numFmtId="0" fontId="36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center"/>
    </xf>
    <xf numFmtId="0" fontId="36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4" fillId="0" borderId="0">
      <alignment horizontal="center"/>
    </xf>
    <xf numFmtId="0" fontId="4" fillId="0" borderId="0">
      <alignment horizontal="center"/>
    </xf>
    <xf numFmtId="0" fontId="35" fillId="0" borderId="0">
      <alignment horizontal="center"/>
    </xf>
    <xf numFmtId="0" fontId="4" fillId="0" borderId="0">
      <alignment horizontal="center"/>
    </xf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35" fillId="0" borderId="0">
      <alignment horizontal="center"/>
    </xf>
    <xf numFmtId="0" fontId="4" fillId="0" borderId="0">
      <alignment horizontal="center"/>
    </xf>
    <xf numFmtId="0" fontId="4" fillId="0" borderId="0"/>
    <xf numFmtId="0" fontId="1" fillId="0" borderId="0"/>
    <xf numFmtId="0" fontId="4" fillId="0" borderId="0"/>
    <xf numFmtId="0" fontId="4" fillId="0" borderId="0">
      <alignment horizontal="center"/>
    </xf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35" fillId="0" borderId="0">
      <alignment horizontal="center"/>
    </xf>
    <xf numFmtId="0" fontId="4" fillId="0" borderId="0">
      <alignment horizontal="center"/>
    </xf>
    <xf numFmtId="0" fontId="4" fillId="0" borderId="0"/>
    <xf numFmtId="0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35" fillId="0" borderId="0">
      <alignment horizontal="center"/>
    </xf>
    <xf numFmtId="0" fontId="4" fillId="0" borderId="0">
      <alignment horizontal="center"/>
    </xf>
    <xf numFmtId="0" fontId="4" fillId="0" borderId="0"/>
    <xf numFmtId="0" fontId="4" fillId="0" borderId="0">
      <alignment horizontal="center"/>
    </xf>
    <xf numFmtId="0" fontId="4" fillId="0" borderId="0"/>
    <xf numFmtId="0" fontId="8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35" fillId="0" borderId="0">
      <alignment horizontal="center"/>
    </xf>
    <xf numFmtId="0" fontId="4" fillId="0" borderId="0">
      <alignment horizontal="center"/>
    </xf>
    <xf numFmtId="0" fontId="5" fillId="0" borderId="0"/>
    <xf numFmtId="0" fontId="4" fillId="0" borderId="0"/>
    <xf numFmtId="0" fontId="4" fillId="0" borderId="0"/>
    <xf numFmtId="0" fontId="4" fillId="0" borderId="0">
      <alignment horizontal="center"/>
    </xf>
    <xf numFmtId="3" fontId="41" fillId="26" borderId="2"/>
    <xf numFmtId="3" fontId="41" fillId="26" borderId="2"/>
    <xf numFmtId="3" fontId="41" fillId="27" borderId="2"/>
    <xf numFmtId="3" fontId="41" fillId="27" borderId="2"/>
    <xf numFmtId="3" fontId="41" fillId="27" borderId="2"/>
    <xf numFmtId="3" fontId="41" fillId="26" borderId="2"/>
    <xf numFmtId="3" fontId="41" fillId="26" borderId="2"/>
    <xf numFmtId="3" fontId="41" fillId="27" borderId="2"/>
    <xf numFmtId="3" fontId="41" fillId="27" borderId="2"/>
    <xf numFmtId="3" fontId="41" fillId="27" borderId="2"/>
    <xf numFmtId="3" fontId="41" fillId="26" borderId="2"/>
    <xf numFmtId="3" fontId="41" fillId="26" borderId="2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" fillId="28" borderId="16" applyNumberFormat="0" applyFont="0" applyAlignment="0" applyProtection="0"/>
    <xf numFmtId="0" fontId="4" fillId="28" borderId="16" applyNumberFormat="0" applyFont="0" applyAlignment="0" applyProtection="0"/>
    <xf numFmtId="0" fontId="6" fillId="28" borderId="16" applyNumberFormat="0" applyFont="0" applyAlignment="0" applyProtection="0"/>
    <xf numFmtId="0" fontId="4" fillId="28" borderId="16" applyNumberFormat="0" applyFont="0" applyAlignment="0" applyProtection="0"/>
    <xf numFmtId="0" fontId="6" fillId="28" borderId="16" applyNumberFormat="0" applyFont="0" applyAlignment="0" applyProtection="0"/>
    <xf numFmtId="0" fontId="6" fillId="28" borderId="16" applyNumberFormat="0" applyFont="0" applyAlignment="0" applyProtection="0"/>
    <xf numFmtId="0" fontId="6" fillId="28" borderId="16" applyNumberFormat="0" applyFont="0" applyAlignment="0" applyProtection="0"/>
    <xf numFmtId="0" fontId="4" fillId="28" borderId="16" applyNumberFormat="0" applyFont="0" applyAlignment="0" applyProtection="0"/>
    <xf numFmtId="0" fontId="4" fillId="28" borderId="16" applyNumberFormat="0" applyFont="0" applyAlignment="0" applyProtection="0"/>
    <xf numFmtId="0" fontId="4" fillId="28" borderId="16" applyNumberFormat="0" applyFont="0" applyAlignment="0" applyProtection="0"/>
    <xf numFmtId="0" fontId="4" fillId="28" borderId="16" applyNumberFormat="0" applyFont="0" applyAlignment="0" applyProtection="0"/>
    <xf numFmtId="0" fontId="4" fillId="28" borderId="16" applyNumberFormat="0" applyFont="0" applyAlignment="0" applyProtection="0"/>
    <xf numFmtId="0" fontId="4" fillId="28" borderId="16" applyNumberFormat="0" applyFont="0" applyAlignment="0" applyProtection="0"/>
    <xf numFmtId="0" fontId="35" fillId="28" borderId="16" applyNumberFormat="0" applyFont="0" applyAlignment="0" applyProtection="0"/>
    <xf numFmtId="0" fontId="35" fillId="28" borderId="16" applyNumberFormat="0" applyFont="0" applyAlignment="0" applyProtection="0"/>
    <xf numFmtId="0" fontId="35" fillId="28" borderId="16" applyNumberFormat="0" applyFont="0" applyAlignment="0" applyProtection="0"/>
    <xf numFmtId="0" fontId="4" fillId="28" borderId="16" applyNumberFormat="0" applyFont="0" applyAlignment="0" applyProtection="0"/>
    <xf numFmtId="0" fontId="8" fillId="28" borderId="16" applyNumberFormat="0" applyFont="0" applyAlignment="0" applyProtection="0"/>
    <xf numFmtId="0" fontId="4" fillId="28" borderId="16" applyNumberFormat="0" applyFont="0" applyAlignment="0" applyProtection="0"/>
    <xf numFmtId="0" fontId="4" fillId="28" borderId="16" applyNumberFormat="0" applyFont="0" applyAlignment="0" applyProtection="0"/>
    <xf numFmtId="0" fontId="8" fillId="28" borderId="16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35" fillId="0" borderId="0">
      <alignment horizontal="center"/>
    </xf>
    <xf numFmtId="0" fontId="4" fillId="0" borderId="0">
      <alignment horizontal="center"/>
    </xf>
    <xf numFmtId="0" fontId="6" fillId="0" borderId="0"/>
    <xf numFmtId="0" fontId="6" fillId="0" borderId="0"/>
    <xf numFmtId="0" fontId="4" fillId="0" borderId="0"/>
    <xf numFmtId="0" fontId="41" fillId="5" borderId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0" fontId="45" fillId="0" borderId="0" applyFill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19" fillId="6" borderId="0" applyNumberFormat="0" applyBorder="0" applyAlignment="0" applyProtection="0"/>
    <xf numFmtId="0" fontId="2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166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4" fillId="0" borderId="0">
      <alignment horizontal="center"/>
    </xf>
    <xf numFmtId="0" fontId="4" fillId="0" borderId="0">
      <alignment horizontal="center"/>
    </xf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1" fillId="0" borderId="0"/>
    <xf numFmtId="0" fontId="1" fillId="0" borderId="0"/>
    <xf numFmtId="0" fontId="1" fillId="0" borderId="0"/>
    <xf numFmtId="0" fontId="4" fillId="0" borderId="0">
      <alignment horizontal="center"/>
    </xf>
    <xf numFmtId="0" fontId="4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41" fillId="27" borderId="18"/>
    <xf numFmtId="3" fontId="41" fillId="27" borderId="18"/>
    <xf numFmtId="3" fontId="41" fillId="27" borderId="18"/>
    <xf numFmtId="3" fontId="41" fillId="26" borderId="18"/>
    <xf numFmtId="3" fontId="41" fillId="26" borderId="18"/>
    <xf numFmtId="3" fontId="41" fillId="26" borderId="18"/>
    <xf numFmtId="3" fontId="41" fillId="27" borderId="18"/>
    <xf numFmtId="3" fontId="41" fillId="27" borderId="18"/>
    <xf numFmtId="3" fontId="41" fillId="27" borderId="18"/>
    <xf numFmtId="3" fontId="41" fillId="26" borderId="18"/>
    <xf numFmtId="3" fontId="41" fillId="26" borderId="18"/>
    <xf numFmtId="3" fontId="41" fillId="26" borderId="18"/>
    <xf numFmtId="167" fontId="8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2">
    <xf numFmtId="0" fontId="0" fillId="0" borderId="0" xfId="0"/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0" xfId="0" applyFont="1" applyAlignment="1">
      <alignment horizontal="left" vertical="center" indent="7"/>
    </xf>
    <xf numFmtId="0" fontId="47" fillId="0" borderId="0" xfId="0" applyFont="1" applyFill="1" applyAlignment="1">
      <alignment vertical="center"/>
    </xf>
    <xf numFmtId="0" fontId="47" fillId="0" borderId="0" xfId="0" applyFont="1" applyAlignment="1">
      <alignment horizontal="center" vertical="top" wrapText="1"/>
    </xf>
    <xf numFmtId="4" fontId="47" fillId="0" borderId="0" xfId="0" applyNumberFormat="1" applyFont="1" applyAlignment="1">
      <alignment vertical="center"/>
    </xf>
    <xf numFmtId="0" fontId="50" fillId="0" borderId="0" xfId="447" applyFont="1"/>
    <xf numFmtId="0" fontId="48" fillId="0" borderId="0" xfId="447" applyFont="1"/>
    <xf numFmtId="0" fontId="50" fillId="0" borderId="0" xfId="447" applyFont="1" applyFill="1"/>
    <xf numFmtId="0" fontId="50" fillId="0" borderId="0" xfId="447" applyFont="1" applyBorder="1"/>
    <xf numFmtId="4" fontId="48" fillId="0" borderId="0" xfId="447" applyNumberFormat="1" applyFont="1"/>
    <xf numFmtId="171" fontId="47" fillId="0" borderId="0" xfId="0" applyNumberFormat="1" applyFont="1" applyAlignment="1">
      <alignment vertical="center"/>
    </xf>
    <xf numFmtId="171" fontId="49" fillId="0" borderId="0" xfId="0" applyNumberFormat="1" applyFont="1" applyFill="1" applyAlignment="1">
      <alignment vertical="center"/>
    </xf>
    <xf numFmtId="3" fontId="47" fillId="0" borderId="0" xfId="0" applyNumberFormat="1" applyFont="1" applyFill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4" fontId="47" fillId="0" borderId="0" xfId="917" applyNumberFormat="1" applyFont="1" applyFill="1" applyBorder="1" applyAlignment="1">
      <alignment horizontal="right" vertical="center"/>
    </xf>
    <xf numFmtId="0" fontId="49" fillId="0" borderId="0" xfId="0" applyFont="1" applyBorder="1" applyAlignment="1">
      <alignment horizontal="center" vertical="center"/>
    </xf>
    <xf numFmtId="4" fontId="47" fillId="0" borderId="0" xfId="0" applyNumberFormat="1" applyFont="1" applyBorder="1" applyAlignment="1">
      <alignment vertical="center"/>
    </xf>
    <xf numFmtId="0" fontId="46" fillId="0" borderId="0" xfId="0" applyFont="1" applyFill="1" applyAlignment="1">
      <alignment horizontal="center" vertical="top" wrapText="1"/>
    </xf>
    <xf numFmtId="4" fontId="49" fillId="0" borderId="0" xfId="917" applyNumberFormat="1" applyFont="1" applyFill="1" applyBorder="1" applyAlignment="1">
      <alignment horizontal="right" vertical="center"/>
    </xf>
    <xf numFmtId="4" fontId="47" fillId="0" borderId="0" xfId="0" applyNumberFormat="1" applyFont="1" applyBorder="1" applyAlignment="1">
      <alignment vertical="center" wrapText="1"/>
    </xf>
    <xf numFmtId="2" fontId="49" fillId="0" borderId="0" xfId="0" applyNumberFormat="1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4" fontId="49" fillId="0" borderId="0" xfId="0" applyNumberFormat="1" applyFont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3" fontId="49" fillId="0" borderId="0" xfId="0" applyNumberFormat="1" applyFont="1" applyFill="1" applyBorder="1" applyAlignment="1">
      <alignment vertical="center"/>
    </xf>
    <xf numFmtId="4" fontId="56" fillId="0" borderId="2" xfId="917" applyNumberFormat="1" applyFont="1" applyFill="1" applyBorder="1" applyAlignment="1">
      <alignment horizontal="right" vertical="center"/>
    </xf>
    <xf numFmtId="171" fontId="56" fillId="0" borderId="2" xfId="917" applyNumberFormat="1" applyFont="1" applyFill="1" applyBorder="1" applyAlignment="1">
      <alignment horizontal="right" vertical="center"/>
    </xf>
    <xf numFmtId="1" fontId="57" fillId="0" borderId="2" xfId="2" applyNumberFormat="1" applyFont="1" applyFill="1" applyBorder="1" applyAlignment="1">
      <alignment horizontal="center" vertical="center" wrapText="1"/>
    </xf>
    <xf numFmtId="2" fontId="57" fillId="0" borderId="2" xfId="2" applyNumberFormat="1" applyFont="1" applyFill="1" applyBorder="1" applyAlignment="1">
      <alignment horizontal="left" vertical="center" wrapText="1"/>
    </xf>
    <xf numFmtId="2" fontId="57" fillId="0" borderId="2" xfId="2" applyNumberFormat="1" applyFont="1" applyFill="1" applyBorder="1" applyAlignment="1">
      <alignment horizontal="center" vertical="center" wrapText="1"/>
    </xf>
    <xf numFmtId="4" fontId="58" fillId="0" borderId="2" xfId="917" applyNumberFormat="1" applyFont="1" applyFill="1" applyBorder="1" applyAlignment="1">
      <alignment horizontal="right" vertical="center"/>
    </xf>
    <xf numFmtId="4" fontId="58" fillId="0" borderId="2" xfId="0" applyNumberFormat="1" applyFont="1" applyBorder="1" applyAlignment="1">
      <alignment vertical="center"/>
    </xf>
    <xf numFmtId="4" fontId="58" fillId="0" borderId="18" xfId="0" applyNumberFormat="1" applyFont="1" applyBorder="1" applyAlignment="1">
      <alignment vertical="center" wrapText="1"/>
    </xf>
    <xf numFmtId="2" fontId="57" fillId="0" borderId="2" xfId="2" applyNumberFormat="1" applyFont="1" applyFill="1" applyBorder="1" applyAlignment="1">
      <alignment horizontal="left" vertical="center"/>
    </xf>
    <xf numFmtId="49" fontId="57" fillId="0" borderId="2" xfId="2" applyNumberFormat="1" applyFont="1" applyFill="1" applyBorder="1" applyAlignment="1">
      <alignment horizontal="center" vertical="center" wrapText="1"/>
    </xf>
    <xf numFmtId="2" fontId="57" fillId="0" borderId="18" xfId="2" applyNumberFormat="1" applyFont="1" applyFill="1" applyBorder="1" applyAlignment="1">
      <alignment horizontal="left" vertical="center" wrapText="1"/>
    </xf>
    <xf numFmtId="4" fontId="58" fillId="0" borderId="18" xfId="917" applyNumberFormat="1" applyFont="1" applyFill="1" applyBorder="1" applyAlignment="1">
      <alignment horizontal="right" vertical="center"/>
    </xf>
    <xf numFmtId="0" fontId="58" fillId="0" borderId="2" xfId="0" applyFont="1" applyBorder="1" applyAlignment="1">
      <alignment vertical="center"/>
    </xf>
    <xf numFmtId="0" fontId="56" fillId="0" borderId="2" xfId="0" applyFont="1" applyBorder="1" applyAlignment="1">
      <alignment vertical="center"/>
    </xf>
    <xf numFmtId="2" fontId="56" fillId="0" borderId="2" xfId="0" applyNumberFormat="1" applyFont="1" applyFill="1" applyBorder="1" applyAlignment="1">
      <alignment vertical="center"/>
    </xf>
    <xf numFmtId="0" fontId="56" fillId="0" borderId="2" xfId="0" applyFont="1" applyFill="1" applyBorder="1" applyAlignment="1">
      <alignment vertical="center"/>
    </xf>
    <xf numFmtId="1" fontId="56" fillId="0" borderId="2" xfId="861" applyNumberFormat="1" applyFont="1" applyFill="1" applyBorder="1" applyAlignment="1">
      <alignment horizontal="center" vertical="center"/>
    </xf>
    <xf numFmtId="2" fontId="56" fillId="0" borderId="2" xfId="861" applyNumberFormat="1" applyFont="1" applyFill="1" applyBorder="1" applyAlignment="1">
      <alignment horizontal="center" vertical="center"/>
    </xf>
    <xf numFmtId="4" fontId="56" fillId="0" borderId="2" xfId="0" applyNumberFormat="1" applyFont="1" applyBorder="1" applyAlignment="1">
      <alignment vertical="center"/>
    </xf>
    <xf numFmtId="0" fontId="56" fillId="0" borderId="2" xfId="0" applyFont="1" applyFill="1" applyBorder="1" applyAlignment="1">
      <alignment horizontal="center" vertical="center"/>
    </xf>
    <xf numFmtId="0" fontId="58" fillId="0" borderId="2" xfId="0" applyFont="1" applyFill="1" applyBorder="1" applyAlignment="1">
      <alignment vertical="center"/>
    </xf>
    <xf numFmtId="0" fontId="56" fillId="0" borderId="2" xfId="0" applyFont="1" applyFill="1" applyBorder="1" applyAlignment="1">
      <alignment horizontal="left" vertical="center" wrapText="1"/>
    </xf>
    <xf numFmtId="172" fontId="56" fillId="0" borderId="2" xfId="0" applyNumberFormat="1" applyFont="1" applyFill="1" applyBorder="1" applyAlignment="1">
      <alignment horizontal="right" vertical="center"/>
    </xf>
    <xf numFmtId="0" fontId="58" fillId="0" borderId="2" xfId="0" applyFont="1" applyFill="1" applyBorder="1" applyAlignment="1">
      <alignment vertical="center" wrapText="1"/>
    </xf>
    <xf numFmtId="0" fontId="58" fillId="0" borderId="2" xfId="0" applyFont="1" applyFill="1" applyBorder="1" applyAlignment="1">
      <alignment horizontal="center" vertical="center"/>
    </xf>
    <xf numFmtId="172" fontId="58" fillId="0" borderId="2" xfId="0" applyNumberFormat="1" applyFont="1" applyFill="1" applyBorder="1" applyAlignment="1">
      <alignment horizontal="right" vertical="center"/>
    </xf>
    <xf numFmtId="3" fontId="56" fillId="0" borderId="2" xfId="0" applyNumberFormat="1" applyFont="1" applyFill="1" applyBorder="1" applyAlignment="1">
      <alignment vertical="center"/>
    </xf>
    <xf numFmtId="3" fontId="58" fillId="0" borderId="2" xfId="0" applyNumberFormat="1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horizontal="center" vertical="center"/>
    </xf>
    <xf numFmtId="3" fontId="58" fillId="0" borderId="0" xfId="0" applyNumberFormat="1" applyFont="1" applyFill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18" xfId="0" applyFont="1" applyFill="1" applyBorder="1" applyAlignment="1">
      <alignment vertical="center"/>
    </xf>
    <xf numFmtId="0" fontId="58" fillId="0" borderId="0" xfId="0" applyFont="1" applyAlignment="1">
      <alignment vertical="center"/>
    </xf>
    <xf numFmtId="0" fontId="58" fillId="0" borderId="18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left" vertical="center" wrapText="1"/>
    </xf>
    <xf numFmtId="171" fontId="57" fillId="0" borderId="18" xfId="2" applyNumberFormat="1" applyFont="1" applyFill="1" applyBorder="1" applyAlignment="1">
      <alignment horizontal="right" vertical="center" wrapText="1"/>
    </xf>
    <xf numFmtId="166" fontId="57" fillId="0" borderId="18" xfId="2" applyNumberFormat="1" applyFont="1" applyFill="1" applyBorder="1" applyAlignment="1">
      <alignment horizontal="right" vertical="center" wrapText="1"/>
    </xf>
    <xf numFmtId="4" fontId="57" fillId="0" borderId="18" xfId="2" applyNumberFormat="1" applyFont="1" applyFill="1" applyBorder="1" applyAlignment="1">
      <alignment horizontal="right" vertical="center" wrapText="1"/>
    </xf>
    <xf numFmtId="0" fontId="56" fillId="0" borderId="18" xfId="0" applyFont="1" applyFill="1" applyBorder="1" applyAlignment="1">
      <alignment horizontal="center" vertical="center"/>
    </xf>
    <xf numFmtId="171" fontId="53" fillId="0" borderId="18" xfId="2" applyNumberFormat="1" applyFont="1" applyFill="1" applyBorder="1" applyAlignment="1">
      <alignment horizontal="right" vertical="center" wrapText="1"/>
    </xf>
    <xf numFmtId="0" fontId="56" fillId="0" borderId="18" xfId="0" applyFont="1" applyFill="1" applyBorder="1" applyAlignment="1">
      <alignment vertical="center" wrapText="1"/>
    </xf>
    <xf numFmtId="0" fontId="58" fillId="0" borderId="0" xfId="0" applyFont="1" applyFill="1" applyAlignment="1">
      <alignment vertical="center"/>
    </xf>
    <xf numFmtId="0" fontId="56" fillId="0" borderId="0" xfId="0" applyFont="1" applyAlignment="1">
      <alignment horizontal="left" vertical="center" indent="7"/>
    </xf>
    <xf numFmtId="0" fontId="56" fillId="0" borderId="0" xfId="0" applyFont="1" applyAlignment="1">
      <alignment vertical="center"/>
    </xf>
    <xf numFmtId="0" fontId="56" fillId="0" borderId="0" xfId="0" applyFont="1" applyFill="1" applyAlignment="1">
      <alignment vertical="center"/>
    </xf>
    <xf numFmtId="0" fontId="47" fillId="30" borderId="0" xfId="0" applyFont="1" applyFill="1" applyAlignment="1">
      <alignment vertical="center"/>
    </xf>
    <xf numFmtId="0" fontId="48" fillId="31" borderId="0" xfId="447" applyFont="1" applyFill="1"/>
    <xf numFmtId="0" fontId="53" fillId="0" borderId="18" xfId="447" applyFont="1" applyFill="1" applyBorder="1" applyAlignment="1">
      <alignment horizontal="center" vertical="top" wrapText="1"/>
    </xf>
    <xf numFmtId="2" fontId="53" fillId="0" borderId="18" xfId="1" applyNumberFormat="1" applyFont="1" applyFill="1" applyBorder="1" applyAlignment="1">
      <alignment horizontal="center" vertical="center" wrapText="1"/>
    </xf>
    <xf numFmtId="4" fontId="56" fillId="0" borderId="18" xfId="1215" applyNumberFormat="1" applyFont="1" applyFill="1" applyBorder="1" applyAlignment="1">
      <alignment horizontal="right" vertical="center"/>
    </xf>
    <xf numFmtId="171" fontId="56" fillId="0" borderId="18" xfId="1215" applyNumberFormat="1" applyFont="1" applyFill="1" applyBorder="1" applyAlignment="1">
      <alignment horizontal="right" vertical="center"/>
    </xf>
    <xf numFmtId="4" fontId="56" fillId="32" borderId="18" xfId="1215" applyNumberFormat="1" applyFont="1" applyFill="1" applyBorder="1" applyAlignment="1">
      <alignment horizontal="right" vertical="center"/>
    </xf>
    <xf numFmtId="1" fontId="53" fillId="0" borderId="18" xfId="2" applyNumberFormat="1" applyFont="1" applyFill="1" applyBorder="1" applyAlignment="1">
      <alignment horizontal="center" vertical="center" wrapText="1"/>
    </xf>
    <xf numFmtId="49" fontId="57" fillId="0" borderId="18" xfId="2" applyNumberFormat="1" applyFont="1" applyFill="1" applyBorder="1" applyAlignment="1">
      <alignment horizontal="center" vertical="center" wrapText="1"/>
    </xf>
    <xf numFmtId="2" fontId="57" fillId="0" borderId="18" xfId="2" applyNumberFormat="1" applyFont="1" applyFill="1" applyBorder="1" applyAlignment="1">
      <alignment horizontal="center" vertical="center" wrapText="1"/>
    </xf>
    <xf numFmtId="4" fontId="58" fillId="0" borderId="18" xfId="1215" applyNumberFormat="1" applyFont="1" applyFill="1" applyBorder="1" applyAlignment="1">
      <alignment horizontal="right" vertical="center"/>
    </xf>
    <xf numFmtId="171" fontId="58" fillId="0" borderId="18" xfId="1215" applyNumberFormat="1" applyFont="1" applyFill="1" applyBorder="1" applyAlignment="1">
      <alignment horizontal="right" vertical="center"/>
    </xf>
    <xf numFmtId="2" fontId="47" fillId="0" borderId="0" xfId="861" applyNumberFormat="1" applyFont="1" applyAlignment="1">
      <alignment vertical="center"/>
    </xf>
    <xf numFmtId="9" fontId="47" fillId="0" borderId="0" xfId="861" applyFont="1" applyAlignment="1">
      <alignment vertical="center"/>
    </xf>
    <xf numFmtId="2" fontId="57" fillId="0" borderId="18" xfId="2" applyNumberFormat="1" applyFont="1" applyFill="1" applyBorder="1" applyAlignment="1">
      <alignment horizontal="left" vertical="center"/>
    </xf>
    <xf numFmtId="171" fontId="56" fillId="32" borderId="18" xfId="1215" applyNumberFormat="1" applyFont="1" applyFill="1" applyBorder="1" applyAlignment="1">
      <alignment horizontal="right" vertical="center"/>
    </xf>
    <xf numFmtId="0" fontId="57" fillId="0" borderId="18" xfId="0" applyFont="1" applyFill="1" applyBorder="1" applyAlignment="1">
      <alignment horizontal="left" vertical="center" wrapText="1"/>
    </xf>
    <xf numFmtId="49" fontId="53" fillId="0" borderId="18" xfId="2" applyNumberFormat="1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vertical="center"/>
    </xf>
    <xf numFmtId="2" fontId="53" fillId="33" borderId="18" xfId="2" applyNumberFormat="1" applyFont="1" applyFill="1" applyBorder="1" applyAlignment="1">
      <alignment horizontal="center" vertical="center" wrapText="1"/>
    </xf>
    <xf numFmtId="2" fontId="53" fillId="33" borderId="18" xfId="2" applyNumberFormat="1" applyFont="1" applyFill="1" applyBorder="1" applyAlignment="1">
      <alignment horizontal="left" vertical="center" wrapText="1"/>
    </xf>
    <xf numFmtId="2" fontId="57" fillId="33" borderId="18" xfId="2" applyNumberFormat="1" applyFont="1" applyFill="1" applyBorder="1" applyAlignment="1">
      <alignment horizontal="center" vertical="center" wrapText="1"/>
    </xf>
    <xf numFmtId="4" fontId="56" fillId="33" borderId="18" xfId="1215" applyNumberFormat="1" applyFont="1" applyFill="1" applyBorder="1" applyAlignment="1">
      <alignment horizontal="right" vertical="center"/>
    </xf>
    <xf numFmtId="171" fontId="56" fillId="33" borderId="18" xfId="1215" applyNumberFormat="1" applyFont="1" applyFill="1" applyBorder="1" applyAlignment="1">
      <alignment horizontal="right" vertical="center"/>
    </xf>
    <xf numFmtId="0" fontId="49" fillId="33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2" fontId="53" fillId="32" borderId="18" xfId="2" applyNumberFormat="1" applyFont="1" applyFill="1" applyBorder="1" applyAlignment="1">
      <alignment horizontal="center" vertical="center" wrapText="1"/>
    </xf>
    <xf numFmtId="0" fontId="53" fillId="32" borderId="18" xfId="447" applyFont="1" applyFill="1" applyBorder="1" applyAlignment="1">
      <alignment wrapText="1"/>
    </xf>
    <xf numFmtId="0" fontId="53" fillId="32" borderId="18" xfId="447" applyFont="1" applyFill="1" applyBorder="1" applyAlignment="1">
      <alignment horizontal="center" vertical="center" wrapText="1"/>
    </xf>
    <xf numFmtId="0" fontId="49" fillId="32" borderId="0" xfId="0" applyFont="1" applyFill="1" applyAlignment="1">
      <alignment vertical="center"/>
    </xf>
    <xf numFmtId="9" fontId="56" fillId="0" borderId="18" xfId="861" applyFont="1" applyFill="1" applyBorder="1" applyAlignment="1">
      <alignment horizontal="right" vertical="center"/>
    </xf>
    <xf numFmtId="49" fontId="56" fillId="0" borderId="18" xfId="861" applyNumberFormat="1" applyFont="1" applyFill="1" applyBorder="1" applyAlignment="1">
      <alignment horizontal="center" vertical="center"/>
    </xf>
    <xf numFmtId="49" fontId="56" fillId="0" borderId="18" xfId="861" applyNumberFormat="1" applyFont="1" applyFill="1" applyBorder="1" applyAlignment="1">
      <alignment horizontal="right" vertical="center"/>
    </xf>
    <xf numFmtId="3" fontId="56" fillId="0" borderId="18" xfId="1215" applyNumberFormat="1" applyFont="1" applyFill="1" applyBorder="1" applyAlignment="1">
      <alignment horizontal="right" vertical="center"/>
    </xf>
    <xf numFmtId="171" fontId="56" fillId="0" borderId="18" xfId="1215" applyNumberFormat="1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left" vertical="center" wrapText="1"/>
    </xf>
    <xf numFmtId="3" fontId="56" fillId="0" borderId="18" xfId="0" applyNumberFormat="1" applyFont="1" applyFill="1" applyBorder="1" applyAlignment="1">
      <alignment horizontal="right" vertical="center"/>
    </xf>
    <xf numFmtId="0" fontId="58" fillId="0" borderId="18" xfId="0" applyFont="1" applyFill="1" applyBorder="1" applyAlignment="1">
      <alignment vertical="center" wrapText="1"/>
    </xf>
    <xf numFmtId="3" fontId="58" fillId="0" borderId="18" xfId="0" applyNumberFormat="1" applyFont="1" applyFill="1" applyBorder="1" applyAlignment="1">
      <alignment horizontal="right" vertical="center"/>
    </xf>
    <xf numFmtId="172" fontId="56" fillId="0" borderId="18" xfId="0" applyNumberFormat="1" applyFont="1" applyFill="1" applyBorder="1" applyAlignment="1">
      <alignment horizontal="right" vertical="center"/>
    </xf>
    <xf numFmtId="0" fontId="58" fillId="0" borderId="18" xfId="0" applyFont="1" applyBorder="1" applyAlignment="1">
      <alignment vertical="center"/>
    </xf>
    <xf numFmtId="171" fontId="57" fillId="0" borderId="18" xfId="2" applyNumberFormat="1" applyFont="1" applyFill="1" applyBorder="1" applyAlignment="1">
      <alignment horizontal="center" vertical="center" wrapText="1"/>
    </xf>
    <xf numFmtId="171" fontId="58" fillId="0" borderId="0" xfId="0" applyNumberFormat="1" applyFont="1" applyFill="1" applyAlignment="1">
      <alignment vertical="center"/>
    </xf>
    <xf numFmtId="0" fontId="1" fillId="0" borderId="0" xfId="0" applyFont="1" applyFill="1"/>
    <xf numFmtId="0" fontId="53" fillId="0" borderId="0" xfId="447" applyFont="1" applyFill="1" applyAlignment="1">
      <alignment wrapText="1"/>
    </xf>
    <xf numFmtId="0" fontId="52" fillId="0" borderId="0" xfId="0" applyFont="1" applyFill="1"/>
    <xf numFmtId="0" fontId="53" fillId="0" borderId="18" xfId="447" applyFont="1" applyFill="1" applyBorder="1" applyAlignment="1">
      <alignment vertical="center" wrapText="1"/>
    </xf>
    <xf numFmtId="0" fontId="53" fillId="0" borderId="18" xfId="447" applyFont="1" applyFill="1" applyBorder="1" applyAlignment="1">
      <alignment horizontal="center" vertical="center" wrapText="1"/>
    </xf>
    <xf numFmtId="171" fontId="53" fillId="0" borderId="18" xfId="447" applyNumberFormat="1" applyFont="1" applyFill="1" applyBorder="1" applyAlignment="1">
      <alignment horizontal="right" vertical="center"/>
    </xf>
    <xf numFmtId="0" fontId="53" fillId="0" borderId="18" xfId="447" applyFont="1" applyFill="1" applyBorder="1" applyAlignment="1">
      <alignment wrapText="1"/>
    </xf>
    <xf numFmtId="49" fontId="57" fillId="0" borderId="18" xfId="447" applyNumberFormat="1" applyFont="1" applyFill="1" applyBorder="1" applyAlignment="1">
      <alignment horizontal="center" vertical="center"/>
    </xf>
    <xf numFmtId="0" fontId="57" fillId="0" borderId="18" xfId="447" applyFont="1" applyFill="1" applyBorder="1" applyAlignment="1">
      <alignment wrapText="1"/>
    </xf>
    <xf numFmtId="0" fontId="57" fillId="0" borderId="18" xfId="447" applyFont="1" applyFill="1" applyBorder="1" applyAlignment="1">
      <alignment horizontal="center" vertical="center" wrapText="1"/>
    </xf>
    <xf numFmtId="4" fontId="57" fillId="0" borderId="18" xfId="447" applyNumberFormat="1" applyFont="1" applyFill="1" applyBorder="1" applyAlignment="1">
      <alignment horizontal="right" vertical="center"/>
    </xf>
    <xf numFmtId="171" fontId="57" fillId="0" borderId="18" xfId="447" applyNumberFormat="1" applyFont="1" applyFill="1" applyBorder="1" applyAlignment="1">
      <alignment horizontal="right" vertical="center"/>
    </xf>
    <xf numFmtId="0" fontId="57" fillId="0" borderId="18" xfId="447" applyFont="1" applyFill="1" applyBorder="1"/>
    <xf numFmtId="0" fontId="57" fillId="0" borderId="18" xfId="447" applyFont="1" applyFill="1" applyBorder="1" applyAlignment="1">
      <alignment vertical="center" wrapText="1"/>
    </xf>
    <xf numFmtId="4" fontId="53" fillId="0" borderId="18" xfId="447" applyNumberFormat="1" applyFont="1" applyFill="1" applyBorder="1" applyAlignment="1">
      <alignment horizontal="right" vertical="center"/>
    </xf>
    <xf numFmtId="171" fontId="1" fillId="0" borderId="0" xfId="0" applyNumberFormat="1" applyFont="1" applyFill="1"/>
    <xf numFmtId="0" fontId="52" fillId="0" borderId="18" xfId="447" applyFont="1" applyFill="1" applyBorder="1" applyAlignment="1">
      <alignment vertical="center" wrapText="1"/>
    </xf>
    <xf numFmtId="49" fontId="53" fillId="0" borderId="18" xfId="447" applyNumberFormat="1" applyFont="1" applyFill="1" applyBorder="1" applyAlignment="1">
      <alignment horizontal="center" vertical="center"/>
    </xf>
    <xf numFmtId="0" fontId="51" fillId="0" borderId="18" xfId="447" applyFont="1" applyFill="1" applyBorder="1" applyAlignment="1">
      <alignment vertical="center" wrapText="1"/>
    </xf>
    <xf numFmtId="0" fontId="57" fillId="0" borderId="18" xfId="447" applyFont="1" applyFill="1" applyBorder="1" applyAlignment="1">
      <alignment horizontal="center" wrapText="1"/>
    </xf>
    <xf numFmtId="49" fontId="53" fillId="0" borderId="18" xfId="447" applyNumberFormat="1" applyFont="1" applyFill="1" applyBorder="1" applyAlignment="1">
      <alignment vertical="center" wrapText="1"/>
    </xf>
    <xf numFmtId="49" fontId="57" fillId="0" borderId="18" xfId="447" applyNumberFormat="1" applyFont="1" applyFill="1" applyBorder="1" applyAlignment="1">
      <alignment vertical="center" wrapText="1"/>
    </xf>
    <xf numFmtId="4" fontId="52" fillId="0" borderId="18" xfId="447" applyNumberFormat="1" applyFont="1" applyFill="1" applyBorder="1" applyAlignment="1">
      <alignment horizontal="right" vertical="center"/>
    </xf>
    <xf numFmtId="4" fontId="52" fillId="0" borderId="18" xfId="0" applyNumberFormat="1" applyFont="1" applyFill="1" applyBorder="1"/>
    <xf numFmtId="0" fontId="57" fillId="0" borderId="18" xfId="447" applyFont="1" applyFill="1" applyBorder="1" applyAlignment="1">
      <alignment horizontal="left" vertical="top" wrapText="1"/>
    </xf>
    <xf numFmtId="0" fontId="53" fillId="30" borderId="18" xfId="447" applyFont="1" applyFill="1" applyBorder="1" applyAlignment="1">
      <alignment horizontal="center" vertical="center" wrapText="1"/>
    </xf>
    <xf numFmtId="4" fontId="53" fillId="0" borderId="18" xfId="447" applyNumberFormat="1" applyFont="1" applyFill="1" applyBorder="1" applyAlignment="1">
      <alignment horizontal="right" vertical="center" wrapText="1"/>
    </xf>
    <xf numFmtId="0" fontId="53" fillId="30" borderId="18" xfId="447" applyFont="1" applyFill="1" applyBorder="1" applyAlignment="1">
      <alignment horizontal="center" vertical="center"/>
    </xf>
    <xf numFmtId="0" fontId="53" fillId="0" borderId="18" xfId="447" applyFont="1" applyFill="1" applyBorder="1" applyAlignment="1"/>
    <xf numFmtId="0" fontId="57" fillId="0" borderId="18" xfId="447" applyFont="1" applyFill="1" applyBorder="1" applyAlignment="1"/>
    <xf numFmtId="0" fontId="57" fillId="0" borderId="18" xfId="447" applyFont="1" applyFill="1" applyBorder="1" applyAlignment="1">
      <alignment horizontal="center" vertical="center"/>
    </xf>
    <xf numFmtId="49" fontId="57" fillId="0" borderId="18" xfId="447" applyNumberFormat="1" applyFont="1" applyFill="1" applyBorder="1" applyAlignment="1">
      <alignment horizontal="center"/>
    </xf>
    <xf numFmtId="49" fontId="53" fillId="0" borderId="18" xfId="447" applyNumberFormat="1" applyFont="1" applyFill="1" applyBorder="1" applyAlignment="1">
      <alignment horizontal="center"/>
    </xf>
    <xf numFmtId="0" fontId="57" fillId="0" borderId="18" xfId="447" applyFont="1" applyFill="1" applyBorder="1" applyAlignment="1">
      <alignment vertical="center"/>
    </xf>
    <xf numFmtId="49" fontId="57" fillId="0" borderId="0" xfId="447" applyNumberFormat="1" applyFont="1" applyFill="1" applyBorder="1" applyAlignment="1">
      <alignment horizontal="center"/>
    </xf>
    <xf numFmtId="0" fontId="57" fillId="0" borderId="0" xfId="447" applyFont="1" applyFill="1" applyBorder="1" applyAlignment="1">
      <alignment vertical="center"/>
    </xf>
    <xf numFmtId="0" fontId="57" fillId="0" borderId="0" xfId="447" applyFont="1" applyFill="1" applyBorder="1" applyAlignment="1">
      <alignment horizontal="center" vertical="center"/>
    </xf>
    <xf numFmtId="2" fontId="57" fillId="0" borderId="0" xfId="447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horizontal="left" vertical="center" indent="7"/>
    </xf>
    <xf numFmtId="0" fontId="57" fillId="0" borderId="0" xfId="447" applyFont="1"/>
    <xf numFmtId="0" fontId="57" fillId="0" borderId="0" xfId="447" applyFont="1" applyFill="1"/>
    <xf numFmtId="0" fontId="56" fillId="0" borderId="18" xfId="447" applyFont="1" applyFill="1" applyBorder="1" applyAlignment="1">
      <alignment horizontal="center" vertical="center" wrapText="1"/>
    </xf>
    <xf numFmtId="0" fontId="53" fillId="34" borderId="18" xfId="447" applyFont="1" applyFill="1" applyBorder="1" applyAlignment="1">
      <alignment horizontal="center" vertical="center"/>
    </xf>
    <xf numFmtId="0" fontId="53" fillId="34" borderId="20" xfId="447" applyFont="1" applyFill="1" applyBorder="1" applyAlignment="1">
      <alignment wrapText="1"/>
    </xf>
    <xf numFmtId="0" fontId="53" fillId="34" borderId="18" xfId="447" applyFont="1" applyFill="1" applyBorder="1" applyAlignment="1">
      <alignment horizontal="center" vertical="center" wrapText="1"/>
    </xf>
    <xf numFmtId="4" fontId="53" fillId="34" borderId="18" xfId="447" applyNumberFormat="1" applyFont="1" applyFill="1" applyBorder="1" applyAlignment="1">
      <alignment horizontal="right" wrapText="1"/>
    </xf>
    <xf numFmtId="4" fontId="53" fillId="0" borderId="18" xfId="447" applyNumberFormat="1" applyFont="1" applyFill="1" applyBorder="1" applyAlignment="1">
      <alignment horizontal="right" wrapText="1"/>
    </xf>
    <xf numFmtId="171" fontId="53" fillId="0" borderId="18" xfId="447" applyNumberFormat="1" applyFont="1" applyFill="1" applyBorder="1" applyAlignment="1">
      <alignment horizontal="right" wrapText="1"/>
    </xf>
    <xf numFmtId="0" fontId="57" fillId="0" borderId="18" xfId="447" applyFont="1" applyBorder="1" applyAlignment="1">
      <alignment horizontal="center" vertical="center"/>
    </xf>
    <xf numFmtId="0" fontId="57" fillId="0" borderId="20" xfId="447" applyFont="1" applyBorder="1" applyAlignment="1">
      <alignment wrapText="1"/>
    </xf>
    <xf numFmtId="0" fontId="57" fillId="0" borderId="18" xfId="447" applyFont="1" applyBorder="1" applyAlignment="1">
      <alignment horizontal="center" vertical="center" wrapText="1"/>
    </xf>
    <xf numFmtId="4" fontId="53" fillId="0" borderId="18" xfId="447" applyNumberFormat="1" applyFont="1" applyBorder="1" applyAlignment="1">
      <alignment horizontal="right" wrapText="1"/>
    </xf>
    <xf numFmtId="49" fontId="57" fillId="0" borderId="18" xfId="447" applyNumberFormat="1" applyFont="1" applyBorder="1" applyAlignment="1">
      <alignment horizontal="center" vertical="center"/>
    </xf>
    <xf numFmtId="4" fontId="57" fillId="0" borderId="18" xfId="447" applyNumberFormat="1" applyFont="1" applyFill="1" applyBorder="1" applyAlignment="1">
      <alignment horizontal="right" wrapText="1"/>
    </xf>
    <xf numFmtId="4" fontId="57" fillId="0" borderId="20" xfId="447" applyNumberFormat="1" applyFont="1" applyFill="1" applyBorder="1" applyAlignment="1">
      <alignment horizontal="right"/>
    </xf>
    <xf numFmtId="4" fontId="57" fillId="0" borderId="18" xfId="447" applyNumberFormat="1" applyFont="1" applyFill="1" applyBorder="1" applyAlignment="1">
      <alignment horizontal="right"/>
    </xf>
    <xf numFmtId="4" fontId="52" fillId="0" borderId="18" xfId="0" applyNumberFormat="1" applyFont="1" applyFill="1" applyBorder="1" applyAlignment="1">
      <alignment horizontal="right"/>
    </xf>
    <xf numFmtId="4" fontId="57" fillId="0" borderId="18" xfId="447" applyNumberFormat="1" applyFont="1" applyBorder="1" applyAlignment="1">
      <alignment horizontal="right" wrapText="1"/>
    </xf>
    <xf numFmtId="0" fontId="57" fillId="0" borderId="20" xfId="1" applyFont="1" applyFill="1" applyBorder="1" applyAlignment="1">
      <alignment horizontal="left" vertical="center" wrapText="1"/>
    </xf>
    <xf numFmtId="49" fontId="53" fillId="0" borderId="18" xfId="447" applyNumberFormat="1" applyFont="1" applyBorder="1" applyAlignment="1">
      <alignment horizontal="center" vertical="center"/>
    </xf>
    <xf numFmtId="0" fontId="57" fillId="0" borderId="20" xfId="447" applyFont="1" applyBorder="1" applyAlignment="1">
      <alignment vertical="center" wrapText="1"/>
    </xf>
    <xf numFmtId="0" fontId="53" fillId="0" borderId="20" xfId="447" applyFont="1" applyBorder="1" applyAlignment="1">
      <alignment wrapText="1"/>
    </xf>
    <xf numFmtId="4" fontId="53" fillId="0" borderId="20" xfId="447" applyNumberFormat="1" applyFont="1" applyFill="1" applyBorder="1" applyAlignment="1">
      <alignment horizontal="right"/>
    </xf>
    <xf numFmtId="4" fontId="53" fillId="0" borderId="18" xfId="447" applyNumberFormat="1" applyFont="1" applyFill="1" applyBorder="1" applyAlignment="1">
      <alignment horizontal="right"/>
    </xf>
    <xf numFmtId="171" fontId="53" fillId="0" borderId="20" xfId="447" applyNumberFormat="1" applyFont="1" applyFill="1" applyBorder="1" applyAlignment="1">
      <alignment horizontal="right" wrapText="1"/>
    </xf>
    <xf numFmtId="4" fontId="53" fillId="0" borderId="20" xfId="447" applyNumberFormat="1" applyFont="1" applyFill="1" applyBorder="1" applyAlignment="1">
      <alignment horizontal="right" wrapText="1"/>
    </xf>
    <xf numFmtId="0" fontId="58" fillId="0" borderId="20" xfId="447" applyFont="1" applyBorder="1" applyAlignment="1">
      <alignment vertical="center" wrapText="1"/>
    </xf>
    <xf numFmtId="171" fontId="53" fillId="0" borderId="18" xfId="447" applyNumberFormat="1" applyFont="1" applyFill="1" applyBorder="1" applyAlignment="1">
      <alignment horizontal="right"/>
    </xf>
    <xf numFmtId="0" fontId="53" fillId="0" borderId="18" xfId="447" applyFont="1" applyFill="1" applyBorder="1" applyAlignment="1">
      <alignment horizontal="right"/>
    </xf>
    <xf numFmtId="171" fontId="57" fillId="0" borderId="18" xfId="447" applyNumberFormat="1" applyFont="1" applyFill="1" applyBorder="1" applyAlignment="1">
      <alignment horizontal="right"/>
    </xf>
    <xf numFmtId="0" fontId="56" fillId="34" borderId="18" xfId="447" applyFont="1" applyFill="1" applyBorder="1" applyAlignment="1">
      <alignment horizontal="center" vertical="center"/>
    </xf>
    <xf numFmtId="0" fontId="53" fillId="34" borderId="20" xfId="447" applyFont="1" applyFill="1" applyBorder="1" applyAlignment="1">
      <alignment vertical="center" wrapText="1"/>
    </xf>
    <xf numFmtId="0" fontId="57" fillId="34" borderId="18" xfId="447" applyFont="1" applyFill="1" applyBorder="1" applyAlignment="1">
      <alignment horizontal="center" vertical="center" wrapText="1"/>
    </xf>
    <xf numFmtId="0" fontId="56" fillId="0" borderId="18" xfId="447" applyFont="1" applyFill="1" applyBorder="1" applyAlignment="1">
      <alignment horizontal="center" vertical="center"/>
    </xf>
    <xf numFmtId="0" fontId="53" fillId="0" borderId="20" xfId="447" applyFont="1" applyFill="1" applyBorder="1" applyAlignment="1">
      <alignment vertical="center" wrapText="1"/>
    </xf>
    <xf numFmtId="0" fontId="57" fillId="0" borderId="20" xfId="447" applyFont="1" applyFill="1" applyBorder="1" applyAlignment="1">
      <alignment vertical="center" wrapText="1"/>
    </xf>
    <xf numFmtId="4" fontId="57" fillId="34" borderId="18" xfId="447" applyNumberFormat="1" applyFont="1" applyFill="1" applyBorder="1" applyAlignment="1">
      <alignment horizontal="right" wrapText="1"/>
    </xf>
    <xf numFmtId="0" fontId="53" fillId="0" borderId="20" xfId="447" applyFont="1" applyFill="1" applyBorder="1" applyAlignment="1">
      <alignment horizontal="left" vertical="center" wrapText="1"/>
    </xf>
    <xf numFmtId="0" fontId="53" fillId="34" borderId="18" xfId="447" applyFont="1" applyFill="1" applyBorder="1" applyAlignment="1">
      <alignment horizontal="right" vertical="center" wrapText="1"/>
    </xf>
    <xf numFmtId="171" fontId="53" fillId="0" borderId="20" xfId="447" applyNumberFormat="1" applyFont="1" applyFill="1" applyBorder="1" applyAlignment="1">
      <alignment horizontal="right"/>
    </xf>
    <xf numFmtId="0" fontId="53" fillId="0" borderId="20" xfId="447" applyFont="1" applyBorder="1" applyAlignment="1">
      <alignment vertical="top" wrapText="1"/>
    </xf>
    <xf numFmtId="0" fontId="53" fillId="0" borderId="20" xfId="447" applyFont="1" applyBorder="1" applyAlignment="1">
      <alignment horizontal="left" vertical="center" wrapText="1"/>
    </xf>
    <xf numFmtId="171" fontId="53" fillId="0" borderId="18" xfId="447" applyNumberFormat="1" applyFont="1" applyBorder="1" applyAlignment="1">
      <alignment horizontal="right" wrapText="1"/>
    </xf>
    <xf numFmtId="0" fontId="53" fillId="30" borderId="22" xfId="447" applyFont="1" applyFill="1" applyBorder="1" applyAlignment="1">
      <alignment wrapText="1"/>
    </xf>
    <xf numFmtId="4" fontId="53" fillId="30" borderId="18" xfId="447" applyNumberFormat="1" applyFont="1" applyFill="1" applyBorder="1" applyAlignment="1">
      <alignment horizontal="right" wrapText="1"/>
    </xf>
    <xf numFmtId="171" fontId="53" fillId="30" borderId="18" xfId="447" applyNumberFormat="1" applyFont="1" applyFill="1" applyBorder="1" applyAlignment="1">
      <alignment horizontal="right" wrapText="1"/>
    </xf>
    <xf numFmtId="0" fontId="48" fillId="30" borderId="0" xfId="447" applyFont="1" applyFill="1"/>
    <xf numFmtId="0" fontId="53" fillId="0" borderId="22" xfId="447" applyFont="1" applyBorder="1" applyAlignment="1">
      <alignment wrapText="1"/>
    </xf>
    <xf numFmtId="4" fontId="53" fillId="0" borderId="18" xfId="447" applyNumberFormat="1" applyFont="1" applyBorder="1" applyAlignment="1">
      <alignment horizontal="center" wrapText="1"/>
    </xf>
    <xf numFmtId="171" fontId="53" fillId="0" borderId="18" xfId="447" applyNumberFormat="1" applyFont="1" applyBorder="1" applyAlignment="1">
      <alignment horizontal="center" wrapText="1"/>
    </xf>
    <xf numFmtId="4" fontId="53" fillId="0" borderId="18" xfId="447" applyNumberFormat="1" applyFont="1" applyFill="1" applyBorder="1" applyAlignment="1">
      <alignment horizontal="center" wrapText="1"/>
    </xf>
    <xf numFmtId="4" fontId="53" fillId="0" borderId="18" xfId="447" applyNumberFormat="1" applyFont="1" applyFill="1" applyBorder="1" applyAlignment="1"/>
    <xf numFmtId="0" fontId="53" fillId="0" borderId="18" xfId="447" applyFont="1" applyFill="1" applyBorder="1"/>
    <xf numFmtId="0" fontId="53" fillId="35" borderId="18" xfId="447" applyFont="1" applyFill="1" applyBorder="1" applyAlignment="1">
      <alignment horizontal="center" vertical="center"/>
    </xf>
    <xf numFmtId="0" fontId="53" fillId="35" borderId="22" xfId="447" applyFont="1" applyFill="1" applyBorder="1" applyAlignment="1">
      <alignment wrapText="1"/>
    </xf>
    <xf numFmtId="0" fontId="53" fillId="35" borderId="18" xfId="447" applyFont="1" applyFill="1" applyBorder="1" applyAlignment="1">
      <alignment horizontal="center" vertical="center" wrapText="1"/>
    </xf>
    <xf numFmtId="4" fontId="53" fillId="35" borderId="18" xfId="447" applyNumberFormat="1" applyFont="1" applyFill="1" applyBorder="1" applyAlignment="1">
      <alignment horizontal="center" wrapText="1"/>
    </xf>
    <xf numFmtId="4" fontId="53" fillId="0" borderId="0" xfId="447" applyNumberFormat="1" applyFont="1" applyAlignment="1"/>
    <xf numFmtId="0" fontId="48" fillId="35" borderId="0" xfId="447" applyFont="1" applyFill="1"/>
    <xf numFmtId="3" fontId="53" fillId="0" borderId="18" xfId="447" applyNumberFormat="1" applyFont="1" applyBorder="1" applyAlignment="1">
      <alignment horizontal="center" wrapText="1"/>
    </xf>
    <xf numFmtId="172" fontId="53" fillId="0" borderId="18" xfId="447" applyNumberFormat="1" applyFont="1" applyFill="1" applyBorder="1" applyAlignment="1">
      <alignment horizontal="center" wrapText="1"/>
    </xf>
    <xf numFmtId="172" fontId="53" fillId="0" borderId="20" xfId="447" applyNumberFormat="1" applyFont="1" applyFill="1" applyBorder="1" applyAlignment="1">
      <alignment horizontal="right"/>
    </xf>
    <xf numFmtId="172" fontId="53" fillId="0" borderId="18" xfId="447" applyNumberFormat="1" applyFont="1" applyFill="1" applyBorder="1" applyAlignment="1"/>
    <xf numFmtId="0" fontId="52" fillId="0" borderId="18" xfId="0" applyFont="1" applyFill="1" applyBorder="1"/>
    <xf numFmtId="0" fontId="51" fillId="0" borderId="18" xfId="0" applyFont="1" applyFill="1" applyBorder="1" applyAlignment="1">
      <alignment horizontal="center"/>
    </xf>
    <xf numFmtId="4" fontId="51" fillId="0" borderId="18" xfId="0" applyNumberFormat="1" applyFont="1" applyFill="1" applyBorder="1"/>
    <xf numFmtId="171" fontId="53" fillId="34" borderId="18" xfId="447" applyNumberFormat="1" applyFont="1" applyFill="1" applyBorder="1" applyAlignment="1">
      <alignment horizontal="center" wrapText="1"/>
    </xf>
    <xf numFmtId="171" fontId="53" fillId="0" borderId="18" xfId="447" applyNumberFormat="1" applyFont="1" applyFill="1" applyBorder="1" applyAlignment="1">
      <alignment horizontal="center" wrapText="1"/>
    </xf>
    <xf numFmtId="0" fontId="53" fillId="0" borderId="0" xfId="447" applyFont="1" applyBorder="1" applyAlignment="1">
      <alignment horizontal="center" vertical="center"/>
    </xf>
    <xf numFmtId="0" fontId="53" fillId="0" borderId="0" xfId="447" applyFont="1" applyBorder="1" applyAlignment="1">
      <alignment vertical="top" wrapText="1"/>
    </xf>
    <xf numFmtId="0" fontId="53" fillId="0" borderId="6" xfId="447" applyFont="1" applyBorder="1" applyAlignment="1">
      <alignment horizontal="center" vertical="center" wrapText="1"/>
    </xf>
    <xf numFmtId="4" fontId="53" fillId="0" borderId="0" xfId="447" applyNumberFormat="1" applyFont="1" applyBorder="1" applyAlignment="1">
      <alignment horizontal="center" wrapText="1"/>
    </xf>
    <xf numFmtId="4" fontId="53" fillId="0" borderId="0" xfId="447" applyNumberFormat="1" applyFont="1" applyFill="1" applyBorder="1" applyAlignment="1">
      <alignment horizontal="center" wrapText="1"/>
    </xf>
    <xf numFmtId="4" fontId="53" fillId="0" borderId="0" xfId="447" applyNumberFormat="1" applyFont="1" applyFill="1" applyBorder="1" applyAlignment="1">
      <alignment horizontal="right"/>
    </xf>
    <xf numFmtId="4" fontId="57" fillId="0" borderId="18" xfId="447" applyNumberFormat="1" applyFont="1" applyFill="1" applyBorder="1" applyAlignment="1"/>
    <xf numFmtId="0" fontId="51" fillId="0" borderId="18" xfId="0" applyFont="1" applyFill="1" applyBorder="1"/>
    <xf numFmtId="0" fontId="57" fillId="0" borderId="6" xfId="447" applyFont="1" applyBorder="1"/>
    <xf numFmtId="0" fontId="57" fillId="0" borderId="18" xfId="447" applyFont="1" applyBorder="1"/>
    <xf numFmtId="0" fontId="53" fillId="0" borderId="20" xfId="447" applyFont="1" applyBorder="1" applyAlignment="1"/>
    <xf numFmtId="0" fontId="53" fillId="0" borderId="18" xfId="447" applyFont="1" applyBorder="1" applyAlignment="1"/>
    <xf numFmtId="4" fontId="53" fillId="0" borderId="21" xfId="447" applyNumberFormat="1" applyFont="1" applyBorder="1" applyAlignment="1"/>
    <xf numFmtId="4" fontId="53" fillId="0" borderId="21" xfId="447" applyNumberFormat="1" applyFont="1" applyFill="1" applyBorder="1" applyAlignment="1"/>
    <xf numFmtId="4" fontId="57" fillId="0" borderId="25" xfId="447" applyNumberFormat="1" applyFont="1" applyFill="1" applyBorder="1" applyAlignment="1">
      <alignment horizontal="right"/>
    </xf>
    <xf numFmtId="4" fontId="53" fillId="0" borderId="21" xfId="447" applyNumberFormat="1" applyFont="1" applyBorder="1" applyAlignment="1">
      <alignment horizontal="center"/>
    </xf>
    <xf numFmtId="4" fontId="53" fillId="0" borderId="21" xfId="447" applyNumberFormat="1" applyFont="1" applyFill="1" applyBorder="1" applyAlignment="1">
      <alignment horizontal="center"/>
    </xf>
    <xf numFmtId="49" fontId="57" fillId="0" borderId="18" xfId="447" applyNumberFormat="1" applyFont="1" applyBorder="1" applyAlignment="1">
      <alignment horizontal="center"/>
    </xf>
    <xf numFmtId="0" fontId="57" fillId="0" borderId="20" xfId="447" applyFont="1" applyBorder="1" applyAlignment="1"/>
    <xf numFmtId="4" fontId="57" fillId="0" borderId="21" xfId="447" applyNumberFormat="1" applyFont="1" applyBorder="1" applyAlignment="1">
      <alignment horizontal="center"/>
    </xf>
    <xf numFmtId="4" fontId="57" fillId="0" borderId="21" xfId="447" applyNumberFormat="1" applyFont="1" applyFill="1" applyBorder="1" applyAlignment="1">
      <alignment horizontal="center"/>
    </xf>
    <xf numFmtId="3" fontId="57" fillId="0" borderId="18" xfId="447" applyNumberFormat="1" applyFont="1" applyFill="1" applyBorder="1" applyAlignment="1"/>
    <xf numFmtId="49" fontId="53" fillId="0" borderId="18" xfId="447" applyNumberFormat="1" applyFont="1" applyBorder="1" applyAlignment="1">
      <alignment horizontal="center"/>
    </xf>
    <xf numFmtId="4" fontId="57" fillId="0" borderId="21" xfId="447" applyNumberFormat="1" applyFont="1" applyFill="1" applyBorder="1" applyAlignment="1">
      <alignment horizontal="right"/>
    </xf>
    <xf numFmtId="0" fontId="57" fillId="0" borderId="0" xfId="447" applyFont="1" applyBorder="1"/>
    <xf numFmtId="0" fontId="57" fillId="0" borderId="0" xfId="447" applyFont="1" applyFill="1" applyBorder="1"/>
    <xf numFmtId="0" fontId="57" fillId="0" borderId="0" xfId="447" applyFont="1" applyBorder="1" applyAlignment="1">
      <alignment horizontal="left"/>
    </xf>
    <xf numFmtId="0" fontId="57" fillId="0" borderId="0" xfId="447" applyFont="1" applyFill="1" applyBorder="1" applyAlignment="1">
      <alignment horizontal="right"/>
    </xf>
    <xf numFmtId="0" fontId="53" fillId="0" borderId="0" xfId="447" applyFont="1" applyAlignment="1">
      <alignment horizontal="left" indent="8"/>
    </xf>
    <xf numFmtId="0" fontId="53" fillId="0" borderId="0" xfId="447" applyFont="1" applyFill="1" applyAlignment="1">
      <alignment horizontal="left" indent="8"/>
    </xf>
    <xf numFmtId="0" fontId="53" fillId="0" borderId="0" xfId="447" applyFont="1" applyFill="1" applyAlignment="1">
      <alignment horizontal="left"/>
    </xf>
    <xf numFmtId="0" fontId="53" fillId="0" borderId="0" xfId="447" applyFont="1" applyFill="1" applyAlignment="1">
      <alignment horizontal="right"/>
    </xf>
    <xf numFmtId="0" fontId="53" fillId="0" borderId="0" xfId="761" applyFont="1" applyFill="1" applyAlignment="1"/>
    <xf numFmtId="0" fontId="57" fillId="0" borderId="0" xfId="761" applyFont="1" applyFill="1" applyAlignment="1"/>
    <xf numFmtId="166" fontId="57" fillId="0" borderId="0" xfId="447" applyNumberFormat="1" applyFont="1" applyFill="1"/>
    <xf numFmtId="0" fontId="40" fillId="0" borderId="0" xfId="686" applyFill="1"/>
    <xf numFmtId="0" fontId="61" fillId="0" borderId="0" xfId="686" applyFont="1" applyFill="1" applyAlignment="1">
      <alignment horizontal="center"/>
    </xf>
    <xf numFmtId="0" fontId="61" fillId="0" borderId="0" xfId="686" applyFont="1" applyFill="1"/>
    <xf numFmtId="4" fontId="40" fillId="0" borderId="0" xfId="686" applyNumberFormat="1" applyFill="1"/>
    <xf numFmtId="171" fontId="40" fillId="0" borderId="0" xfId="686" applyNumberFormat="1" applyFill="1"/>
    <xf numFmtId="0" fontId="62" fillId="0" borderId="0" xfId="686" applyFont="1" applyFill="1"/>
    <xf numFmtId="0" fontId="60" fillId="0" borderId="0" xfId="686" applyFont="1" applyFill="1" applyAlignment="1">
      <alignment horizontal="center"/>
    </xf>
    <xf numFmtId="0" fontId="60" fillId="0" borderId="0" xfId="686" applyFont="1" applyFill="1"/>
    <xf numFmtId="4" fontId="60" fillId="0" borderId="0" xfId="686" applyNumberFormat="1" applyFont="1" applyFill="1"/>
    <xf numFmtId="0" fontId="48" fillId="0" borderId="0" xfId="447" applyFont="1" applyFill="1"/>
    <xf numFmtId="4" fontId="0" fillId="0" borderId="0" xfId="0" applyNumberFormat="1" applyFont="1" applyAlignment="1">
      <alignment horizontal="center" vertical="center" wrapText="1"/>
    </xf>
    <xf numFmtId="4" fontId="64" fillId="0" borderId="0" xfId="0" applyNumberFormat="1" applyFont="1" applyFill="1" applyAlignment="1">
      <alignment horizontal="left" vertical="center" wrapText="1"/>
    </xf>
    <xf numFmtId="4" fontId="64" fillId="0" borderId="0" xfId="0" applyNumberFormat="1" applyFont="1" applyAlignment="1">
      <alignment horizontal="center" vertical="center" wrapText="1"/>
    </xf>
    <xf numFmtId="4" fontId="64" fillId="29" borderId="0" xfId="0" applyNumberFormat="1" applyFont="1" applyFill="1" applyAlignment="1">
      <alignment horizontal="center" vertical="center" wrapText="1"/>
    </xf>
    <xf numFmtId="4" fontId="63" fillId="0" borderId="0" xfId="0" applyNumberFormat="1" applyFont="1" applyAlignment="1">
      <alignment horizontal="center" vertical="center" wrapText="1"/>
    </xf>
    <xf numFmtId="4" fontId="65" fillId="0" borderId="0" xfId="0" applyNumberFormat="1" applyFont="1" applyFill="1" applyAlignment="1">
      <alignment horizontal="center" vertical="center" wrapText="1"/>
    </xf>
    <xf numFmtId="2" fontId="64" fillId="0" borderId="0" xfId="0" applyNumberFormat="1" applyFont="1" applyFill="1" applyAlignment="1">
      <alignment horizontal="center" vertical="center"/>
    </xf>
    <xf numFmtId="4" fontId="0" fillId="0" borderId="0" xfId="0" applyNumberFormat="1"/>
    <xf numFmtId="4" fontId="3" fillId="0" borderId="0" xfId="0" applyNumberFormat="1" applyFont="1"/>
    <xf numFmtId="4" fontId="0" fillId="0" borderId="0" xfId="0" applyNumberFormat="1" applyAlignment="1">
      <alignment vertical="center"/>
    </xf>
    <xf numFmtId="4" fontId="0" fillId="0" borderId="0" xfId="0" applyNumberFormat="1" applyFill="1"/>
    <xf numFmtId="4" fontId="3" fillId="0" borderId="0" xfId="0" applyNumberFormat="1" applyFont="1" applyFill="1"/>
    <xf numFmtId="166" fontId="3" fillId="0" borderId="0" xfId="0" applyNumberFormat="1" applyFont="1"/>
    <xf numFmtId="4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4" fontId="65" fillId="0" borderId="0" xfId="0" applyNumberFormat="1" applyFont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65" fillId="0" borderId="0" xfId="0" applyNumberFormat="1" applyFont="1" applyAlignment="1">
      <alignment vertical="center" wrapText="1"/>
    </xf>
    <xf numFmtId="4" fontId="65" fillId="29" borderId="0" xfId="0" applyNumberFormat="1" applyFont="1" applyFill="1" applyAlignment="1">
      <alignment vertical="center" wrapText="1"/>
    </xf>
    <xf numFmtId="4" fontId="66" fillId="0" borderId="0" xfId="0" applyNumberFormat="1" applyFont="1" applyAlignment="1">
      <alignment horizontal="center" vertical="center" wrapText="1"/>
    </xf>
    <xf numFmtId="171" fontId="48" fillId="0" borderId="0" xfId="447" applyNumberFormat="1" applyFont="1" applyFill="1"/>
    <xf numFmtId="171" fontId="49" fillId="0" borderId="0" xfId="0" applyNumberFormat="1" applyFont="1" applyAlignment="1">
      <alignment vertical="center"/>
    </xf>
    <xf numFmtId="171" fontId="53" fillId="3" borderId="18" xfId="447" applyNumberFormat="1" applyFont="1" applyFill="1" applyBorder="1" applyAlignment="1">
      <alignment horizontal="right" wrapText="1"/>
    </xf>
    <xf numFmtId="4" fontId="53" fillId="3" borderId="18" xfId="447" applyNumberFormat="1" applyFont="1" applyFill="1" applyBorder="1" applyAlignment="1">
      <alignment horizontal="right" wrapText="1"/>
    </xf>
    <xf numFmtId="171" fontId="53" fillId="3" borderId="20" xfId="447" applyNumberFormat="1" applyFont="1" applyFill="1" applyBorder="1" applyAlignment="1">
      <alignment horizontal="right" wrapText="1"/>
    </xf>
    <xf numFmtId="171" fontId="56" fillId="3" borderId="18" xfId="1215" applyNumberFormat="1" applyFont="1" applyFill="1" applyBorder="1" applyAlignment="1">
      <alignment horizontal="right" vertical="center"/>
    </xf>
    <xf numFmtId="4" fontId="56" fillId="3" borderId="18" xfId="1215" applyNumberFormat="1" applyFont="1" applyFill="1" applyBorder="1" applyAlignment="1">
      <alignment horizontal="right" vertical="center"/>
    </xf>
    <xf numFmtId="9" fontId="40" fillId="0" borderId="0" xfId="1216" applyFont="1" applyFill="1"/>
    <xf numFmtId="4" fontId="53" fillId="3" borderId="20" xfId="447" applyNumberFormat="1" applyFont="1" applyFill="1" applyBorder="1" applyAlignment="1">
      <alignment horizontal="right" wrapText="1"/>
    </xf>
    <xf numFmtId="4" fontId="50" fillId="0" borderId="0" xfId="447" applyNumberFormat="1" applyFont="1"/>
    <xf numFmtId="2" fontId="53" fillId="0" borderId="20" xfId="1" applyNumberFormat="1" applyFont="1" applyFill="1" applyBorder="1" applyAlignment="1">
      <alignment vertical="center" wrapText="1"/>
    </xf>
    <xf numFmtId="2" fontId="53" fillId="0" borderId="25" xfId="1" applyNumberFormat="1" applyFont="1" applyFill="1" applyBorder="1" applyAlignment="1">
      <alignment vertical="center" wrapText="1"/>
    </xf>
    <xf numFmtId="4" fontId="47" fillId="0" borderId="0" xfId="0" applyNumberFormat="1" applyFont="1" applyFill="1" applyAlignment="1">
      <alignment vertical="center"/>
    </xf>
    <xf numFmtId="4" fontId="58" fillId="0" borderId="0" xfId="0" applyNumberFormat="1" applyFont="1" applyFill="1" applyAlignment="1">
      <alignment vertical="center"/>
    </xf>
    <xf numFmtId="4" fontId="56" fillId="0" borderId="0" xfId="0" applyNumberFormat="1" applyFont="1" applyFill="1" applyAlignment="1">
      <alignment vertical="center"/>
    </xf>
    <xf numFmtId="4" fontId="53" fillId="0" borderId="20" xfId="447" applyNumberFormat="1" applyFont="1" applyBorder="1" applyAlignment="1">
      <alignment horizontal="right" wrapText="1"/>
    </xf>
    <xf numFmtId="4" fontId="0" fillId="3" borderId="0" xfId="0" applyNumberFormat="1" applyFont="1" applyFill="1" applyAlignment="1">
      <alignment horizontal="center" vertical="center" wrapText="1"/>
    </xf>
    <xf numFmtId="0" fontId="61" fillId="0" borderId="0" xfId="0" applyFont="1" applyFill="1"/>
    <xf numFmtId="4" fontId="47" fillId="3" borderId="0" xfId="0" applyNumberFormat="1" applyFont="1" applyFill="1" applyAlignment="1">
      <alignment vertical="center"/>
    </xf>
    <xf numFmtId="4" fontId="58" fillId="3" borderId="0" xfId="0" applyNumberFormat="1" applyFont="1" applyFill="1" applyAlignment="1">
      <alignment vertical="center"/>
    </xf>
    <xf numFmtId="4" fontId="56" fillId="3" borderId="0" xfId="0" applyNumberFormat="1" applyFont="1" applyFill="1" applyAlignment="1">
      <alignment vertical="center"/>
    </xf>
    <xf numFmtId="4" fontId="49" fillId="3" borderId="0" xfId="0" applyNumberFormat="1" applyFont="1" applyFill="1" applyAlignment="1">
      <alignment vertical="center"/>
    </xf>
    <xf numFmtId="0" fontId="61" fillId="3" borderId="0" xfId="686" applyFont="1" applyFill="1" applyAlignment="1">
      <alignment vertical="center"/>
    </xf>
    <xf numFmtId="0" fontId="61" fillId="0" borderId="0" xfId="686" applyFont="1" applyFill="1" applyAlignment="1">
      <alignment vertical="center"/>
    </xf>
    <xf numFmtId="0" fontId="60" fillId="0" borderId="0" xfId="686" applyFont="1" applyFill="1" applyAlignment="1">
      <alignment vertical="center"/>
    </xf>
    <xf numFmtId="0" fontId="60" fillId="3" borderId="0" xfId="686" applyFont="1" applyFill="1" applyAlignment="1">
      <alignment vertical="center"/>
    </xf>
    <xf numFmtId="4" fontId="47" fillId="3" borderId="0" xfId="0" applyNumberFormat="1" applyFont="1" applyFill="1" applyBorder="1" applyAlignment="1">
      <alignment vertical="center"/>
    </xf>
    <xf numFmtId="175" fontId="0" fillId="0" borderId="0" xfId="1216" applyNumberFormat="1" applyFont="1"/>
    <xf numFmtId="9" fontId="50" fillId="0" borderId="0" xfId="1216" applyFont="1" applyFill="1"/>
    <xf numFmtId="171" fontId="48" fillId="0" borderId="0" xfId="447" applyNumberFormat="1" applyFont="1"/>
    <xf numFmtId="4" fontId="1" fillId="0" borderId="0" xfId="0" applyNumberFormat="1" applyFont="1" applyFill="1"/>
    <xf numFmtId="0" fontId="56" fillId="0" borderId="2" xfId="0" applyFont="1" applyBorder="1" applyAlignment="1">
      <alignment horizontal="right" vertical="center"/>
    </xf>
    <xf numFmtId="0" fontId="56" fillId="0" borderId="2" xfId="0" applyFont="1" applyFill="1" applyBorder="1" applyAlignment="1">
      <alignment horizontal="right" vertical="center"/>
    </xf>
    <xf numFmtId="4" fontId="58" fillId="3" borderId="18" xfId="1215" applyNumberFormat="1" applyFont="1" applyFill="1" applyBorder="1" applyAlignment="1">
      <alignment horizontal="right" vertical="center"/>
    </xf>
    <xf numFmtId="0" fontId="57" fillId="0" borderId="18" xfId="447" applyFont="1" applyFill="1" applyBorder="1" applyAlignment="1">
      <alignment horizontal="left" vertical="center" wrapText="1"/>
    </xf>
    <xf numFmtId="4" fontId="57" fillId="0" borderId="18" xfId="447" applyNumberFormat="1" applyFont="1" applyFill="1" applyBorder="1" applyAlignment="1">
      <alignment horizontal="left" vertical="center"/>
    </xf>
    <xf numFmtId="4" fontId="52" fillId="0" borderId="18" xfId="0" applyNumberFormat="1" applyFont="1" applyFill="1" applyBorder="1" applyAlignment="1">
      <alignment horizontal="right" vertical="center"/>
    </xf>
    <xf numFmtId="49" fontId="57" fillId="0" borderId="18" xfId="447" applyNumberFormat="1" applyFont="1" applyFill="1" applyBorder="1" applyAlignment="1">
      <alignment horizontal="center" vertical="top"/>
    </xf>
    <xf numFmtId="4" fontId="51" fillId="0" borderId="18" xfId="0" applyNumberFormat="1" applyFont="1" applyFill="1" applyBorder="1" applyAlignment="1">
      <alignment horizontal="right" vertical="center"/>
    </xf>
    <xf numFmtId="3" fontId="47" fillId="0" borderId="0" xfId="0" applyNumberFormat="1" applyFont="1" applyAlignment="1">
      <alignment vertical="center"/>
    </xf>
    <xf numFmtId="3" fontId="58" fillId="0" borderId="0" xfId="0" applyNumberFormat="1" applyFont="1" applyFill="1" applyAlignment="1">
      <alignment vertical="center"/>
    </xf>
    <xf numFmtId="3" fontId="58" fillId="0" borderId="18" xfId="0" applyNumberFormat="1" applyFont="1" applyFill="1" applyBorder="1" applyAlignment="1">
      <alignment vertical="center"/>
    </xf>
    <xf numFmtId="3" fontId="58" fillId="33" borderId="18" xfId="0" applyNumberFormat="1" applyFont="1" applyFill="1" applyBorder="1" applyAlignment="1">
      <alignment vertical="center"/>
    </xf>
    <xf numFmtId="3" fontId="56" fillId="0" borderId="18" xfId="0" applyNumberFormat="1" applyFont="1" applyFill="1" applyBorder="1" applyAlignment="1">
      <alignment vertical="center"/>
    </xf>
    <xf numFmtId="3" fontId="56" fillId="32" borderId="18" xfId="0" applyNumberFormat="1" applyFont="1" applyFill="1" applyBorder="1" applyAlignment="1">
      <alignment vertical="center"/>
    </xf>
    <xf numFmtId="3" fontId="56" fillId="0" borderId="18" xfId="0" applyNumberFormat="1" applyFont="1" applyBorder="1" applyAlignment="1">
      <alignment vertical="center"/>
    </xf>
    <xf numFmtId="3" fontId="56" fillId="0" borderId="0" xfId="0" applyNumberFormat="1" applyFont="1" applyFill="1" applyAlignment="1">
      <alignment vertical="center"/>
    </xf>
    <xf numFmtId="3" fontId="61" fillId="0" borderId="0" xfId="0" applyNumberFormat="1" applyFont="1" applyFill="1"/>
    <xf numFmtId="3" fontId="56" fillId="0" borderId="19" xfId="0" applyNumberFormat="1" applyFont="1" applyFill="1" applyBorder="1" applyAlignment="1">
      <alignment horizontal="center" vertical="center" wrapText="1"/>
    </xf>
    <xf numFmtId="3" fontId="50" fillId="0" borderId="0" xfId="447" applyNumberFormat="1" applyFont="1"/>
    <xf numFmtId="4" fontId="57" fillId="0" borderId="18" xfId="447" applyNumberFormat="1" applyFont="1" applyBorder="1"/>
    <xf numFmtId="4" fontId="57" fillId="0" borderId="18" xfId="447" applyNumberFormat="1" applyFont="1" applyFill="1" applyBorder="1"/>
    <xf numFmtId="4" fontId="57" fillId="3" borderId="18" xfId="447" applyNumberFormat="1" applyFont="1" applyFill="1" applyBorder="1"/>
    <xf numFmtId="3" fontId="56" fillId="3" borderId="18" xfId="0" applyNumberFormat="1" applyFont="1" applyFill="1" applyBorder="1" applyAlignment="1">
      <alignment horizontal="center" vertical="center" wrapText="1"/>
    </xf>
    <xf numFmtId="3" fontId="40" fillId="3" borderId="0" xfId="686" applyNumberFormat="1" applyFill="1" applyAlignment="1">
      <alignment vertical="center"/>
    </xf>
    <xf numFmtId="3" fontId="62" fillId="3" borderId="0" xfId="686" applyNumberFormat="1" applyFont="1" applyFill="1" applyAlignment="1">
      <alignment vertical="center"/>
    </xf>
    <xf numFmtId="4" fontId="53" fillId="34" borderId="18" xfId="447" applyNumberFormat="1" applyFont="1" applyFill="1" applyBorder="1" applyAlignment="1">
      <alignment horizontal="right" vertical="center" wrapText="1"/>
    </xf>
    <xf numFmtId="4" fontId="53" fillId="3" borderId="18" xfId="447" applyNumberFormat="1" applyFont="1" applyFill="1" applyBorder="1" applyAlignment="1">
      <alignment horizontal="right" vertical="center" wrapText="1"/>
    </xf>
    <xf numFmtId="49" fontId="57" fillId="0" borderId="0" xfId="447" applyNumberFormat="1" applyFont="1" applyBorder="1" applyAlignment="1">
      <alignment horizontal="center"/>
    </xf>
    <xf numFmtId="0" fontId="57" fillId="0" borderId="0" xfId="447" applyFont="1" applyBorder="1" applyAlignment="1"/>
    <xf numFmtId="0" fontId="57" fillId="0" borderId="0" xfId="447" applyFont="1" applyBorder="1" applyAlignment="1">
      <alignment horizontal="center" vertical="center"/>
    </xf>
    <xf numFmtId="4" fontId="57" fillId="0" borderId="0" xfId="447" applyNumberFormat="1" applyFont="1" applyBorder="1" applyAlignment="1">
      <alignment horizontal="center"/>
    </xf>
    <xf numFmtId="4" fontId="57" fillId="0" borderId="0" xfId="447" applyNumberFormat="1" applyFont="1" applyFill="1" applyBorder="1" applyAlignment="1">
      <alignment horizontal="center"/>
    </xf>
    <xf numFmtId="4" fontId="57" fillId="0" borderId="0" xfId="447" applyNumberFormat="1" applyFont="1" applyFill="1" applyBorder="1" applyAlignment="1">
      <alignment horizontal="right"/>
    </xf>
    <xf numFmtId="4" fontId="57" fillId="0" borderId="0" xfId="447" applyNumberFormat="1" applyFont="1" applyFill="1" applyBorder="1" applyAlignment="1"/>
    <xf numFmtId="0" fontId="52" fillId="0" borderId="0" xfId="0" applyFont="1" applyFill="1" applyBorder="1"/>
    <xf numFmtId="3" fontId="0" fillId="0" borderId="0" xfId="0" applyNumberFormat="1"/>
    <xf numFmtId="4" fontId="53" fillId="0" borderId="18" xfId="447" applyNumberFormat="1" applyFont="1" applyFill="1" applyBorder="1" applyAlignment="1">
      <alignment horizontal="center"/>
    </xf>
    <xf numFmtId="4" fontId="57" fillId="0" borderId="18" xfId="447" applyNumberFormat="1" applyFont="1" applyFill="1" applyBorder="1" applyAlignment="1">
      <alignment horizontal="center"/>
    </xf>
    <xf numFmtId="171" fontId="56" fillId="0" borderId="18" xfId="861" applyNumberFormat="1" applyFont="1" applyFill="1" applyBorder="1" applyAlignment="1">
      <alignment horizontal="right" vertical="center"/>
    </xf>
    <xf numFmtId="4" fontId="56" fillId="0" borderId="18" xfId="0" applyNumberFormat="1" applyFont="1" applyFill="1" applyBorder="1" applyAlignment="1">
      <alignment horizontal="right" vertical="center"/>
    </xf>
    <xf numFmtId="4" fontId="58" fillId="0" borderId="18" xfId="0" applyNumberFormat="1" applyFont="1" applyFill="1" applyBorder="1" applyAlignment="1">
      <alignment horizontal="right" vertical="center"/>
    </xf>
    <xf numFmtId="171" fontId="56" fillId="0" borderId="0" xfId="0" applyNumberFormat="1" applyFont="1" applyFill="1" applyAlignment="1">
      <alignment vertical="center"/>
    </xf>
    <xf numFmtId="171" fontId="47" fillId="0" borderId="0" xfId="0" applyNumberFormat="1" applyFont="1" applyFill="1" applyAlignment="1">
      <alignment vertical="center"/>
    </xf>
    <xf numFmtId="4" fontId="48" fillId="0" borderId="0" xfId="447" applyNumberFormat="1" applyFont="1" applyFill="1"/>
    <xf numFmtId="0" fontId="56" fillId="0" borderId="0" xfId="0" applyFont="1" applyFill="1" applyAlignment="1">
      <alignment horizontal="center" vertical="center"/>
    </xf>
    <xf numFmtId="171" fontId="47" fillId="3" borderId="0" xfId="0" applyNumberFormat="1" applyFont="1" applyFill="1" applyAlignment="1">
      <alignment vertical="center"/>
    </xf>
    <xf numFmtId="171" fontId="49" fillId="3" borderId="0" xfId="0" applyNumberFormat="1" applyFont="1" applyFill="1" applyAlignment="1">
      <alignment vertical="center"/>
    </xf>
    <xf numFmtId="0" fontId="47" fillId="3" borderId="0" xfId="0" applyFont="1" applyFill="1" applyAlignment="1">
      <alignment vertical="center"/>
    </xf>
    <xf numFmtId="4" fontId="56" fillId="3" borderId="2" xfId="917" applyNumberFormat="1" applyFont="1" applyFill="1" applyBorder="1" applyAlignment="1">
      <alignment horizontal="right" vertical="center"/>
    </xf>
    <xf numFmtId="4" fontId="58" fillId="3" borderId="2" xfId="917" applyNumberFormat="1" applyFont="1" applyFill="1" applyBorder="1" applyAlignment="1">
      <alignment horizontal="right" vertical="center"/>
    </xf>
    <xf numFmtId="4" fontId="58" fillId="3" borderId="18" xfId="917" applyNumberFormat="1" applyFont="1" applyFill="1" applyBorder="1" applyAlignment="1">
      <alignment horizontal="right" vertical="center"/>
    </xf>
    <xf numFmtId="3" fontId="56" fillId="3" borderId="2" xfId="861" applyNumberFormat="1" applyFont="1" applyFill="1" applyBorder="1" applyAlignment="1">
      <alignment horizontal="right" vertical="center"/>
    </xf>
    <xf numFmtId="171" fontId="56" fillId="3" borderId="2" xfId="917" applyNumberFormat="1" applyFont="1" applyFill="1" applyBorder="1" applyAlignment="1">
      <alignment horizontal="right" vertical="center"/>
    </xf>
    <xf numFmtId="172" fontId="56" fillId="3" borderId="2" xfId="0" applyNumberFormat="1" applyFont="1" applyFill="1" applyBorder="1" applyAlignment="1">
      <alignment horizontal="right" vertical="center"/>
    </xf>
    <xf numFmtId="172" fontId="58" fillId="3" borderId="2" xfId="0" applyNumberFormat="1" applyFont="1" applyFill="1" applyBorder="1" applyAlignment="1">
      <alignment horizontal="right" vertical="center"/>
    </xf>
    <xf numFmtId="3" fontId="56" fillId="3" borderId="2" xfId="0" applyNumberFormat="1" applyFont="1" applyFill="1" applyBorder="1" applyAlignment="1">
      <alignment vertical="center"/>
    </xf>
    <xf numFmtId="3" fontId="58" fillId="3" borderId="2" xfId="0" applyNumberFormat="1" applyFont="1" applyFill="1" applyBorder="1" applyAlignment="1">
      <alignment vertical="center"/>
    </xf>
    <xf numFmtId="3" fontId="58" fillId="3" borderId="0" xfId="0" applyNumberFormat="1" applyFont="1" applyFill="1" applyBorder="1" applyAlignment="1">
      <alignment vertical="center"/>
    </xf>
    <xf numFmtId="171" fontId="57" fillId="3" borderId="18" xfId="2" applyNumberFormat="1" applyFont="1" applyFill="1" applyBorder="1" applyAlignment="1">
      <alignment horizontal="right" vertical="center" wrapText="1"/>
    </xf>
    <xf numFmtId="171" fontId="53" fillId="3" borderId="18" xfId="2" applyNumberFormat="1" applyFont="1" applyFill="1" applyBorder="1" applyAlignment="1">
      <alignment horizontal="right" vertical="center" wrapText="1"/>
    </xf>
    <xf numFmtId="0" fontId="58" fillId="3" borderId="0" xfId="0" applyFont="1" applyFill="1" applyAlignment="1">
      <alignment vertical="center"/>
    </xf>
    <xf numFmtId="0" fontId="56" fillId="3" borderId="0" xfId="0" applyFont="1" applyFill="1" applyAlignment="1">
      <alignment vertical="center"/>
    </xf>
    <xf numFmtId="4" fontId="50" fillId="3" borderId="0" xfId="447" applyNumberFormat="1" applyFont="1" applyFill="1"/>
    <xf numFmtId="2" fontId="57" fillId="3" borderId="18" xfId="2" applyNumberFormat="1" applyFont="1" applyFill="1" applyBorder="1" applyAlignment="1">
      <alignment horizontal="left" vertical="center" wrapText="1"/>
    </xf>
    <xf numFmtId="171" fontId="53" fillId="3" borderId="0" xfId="447" applyNumberFormat="1" applyFont="1" applyFill="1" applyAlignment="1">
      <alignment wrapText="1"/>
    </xf>
    <xf numFmtId="171" fontId="53" fillId="3" borderId="18" xfId="447" applyNumberFormat="1" applyFont="1" applyFill="1" applyBorder="1" applyAlignment="1">
      <alignment horizontal="right" vertical="center"/>
    </xf>
    <xf numFmtId="4" fontId="53" fillId="3" borderId="18" xfId="447" applyNumberFormat="1" applyFont="1" applyFill="1" applyBorder="1" applyAlignment="1">
      <alignment horizontal="right" vertical="center"/>
    </xf>
    <xf numFmtId="4" fontId="57" fillId="3" borderId="18" xfId="447" applyNumberFormat="1" applyFont="1" applyFill="1" applyBorder="1" applyAlignment="1">
      <alignment horizontal="right" vertical="center"/>
    </xf>
    <xf numFmtId="3" fontId="53" fillId="3" borderId="18" xfId="447" applyNumberFormat="1" applyFont="1" applyFill="1" applyBorder="1" applyAlignment="1">
      <alignment horizontal="right" vertical="center"/>
    </xf>
    <xf numFmtId="171" fontId="57" fillId="3" borderId="18" xfId="447" applyNumberFormat="1" applyFont="1" applyFill="1" applyBorder="1" applyAlignment="1">
      <alignment horizontal="right" vertical="center"/>
    </xf>
    <xf numFmtId="171" fontId="57" fillId="3" borderId="0" xfId="447" applyNumberFormat="1" applyFont="1" applyFill="1" applyBorder="1" applyAlignment="1">
      <alignment horizontal="center" vertical="center"/>
    </xf>
    <xf numFmtId="171" fontId="56" fillId="3" borderId="18" xfId="0" applyNumberFormat="1" applyFont="1" applyFill="1" applyBorder="1" applyAlignment="1">
      <alignment horizontal="center" vertical="center" wrapText="1"/>
    </xf>
    <xf numFmtId="171" fontId="56" fillId="3" borderId="0" xfId="0" applyNumberFormat="1" applyFont="1" applyFill="1" applyAlignment="1">
      <alignment vertical="center"/>
    </xf>
    <xf numFmtId="171" fontId="52" fillId="3" borderId="0" xfId="0" applyNumberFormat="1" applyFont="1" applyFill="1"/>
    <xf numFmtId="0" fontId="57" fillId="3" borderId="0" xfId="447" applyFont="1" applyFill="1"/>
    <xf numFmtId="4" fontId="57" fillId="3" borderId="20" xfId="447" applyNumberFormat="1" applyFont="1" applyFill="1" applyBorder="1" applyAlignment="1">
      <alignment horizontal="right" wrapText="1"/>
    </xf>
    <xf numFmtId="4" fontId="57" fillId="3" borderId="18" xfId="447" applyNumberFormat="1" applyFont="1" applyFill="1" applyBorder="1" applyAlignment="1">
      <alignment horizontal="right" wrapText="1"/>
    </xf>
    <xf numFmtId="4" fontId="53" fillId="3" borderId="20" xfId="447" applyNumberFormat="1" applyFont="1" applyFill="1" applyBorder="1" applyAlignment="1">
      <alignment horizontal="center" wrapText="1"/>
    </xf>
    <xf numFmtId="172" fontId="53" fillId="3" borderId="20" xfId="447" applyNumberFormat="1" applyFont="1" applyFill="1" applyBorder="1" applyAlignment="1">
      <alignment horizontal="right" wrapText="1"/>
    </xf>
    <xf numFmtId="4" fontId="53" fillId="3" borderId="22" xfId="447" applyNumberFormat="1" applyFont="1" applyFill="1" applyBorder="1" applyAlignment="1">
      <alignment horizontal="center" wrapText="1"/>
    </xf>
    <xf numFmtId="4" fontId="53" fillId="3" borderId="25" xfId="447" applyNumberFormat="1" applyFont="1" applyFill="1" applyBorder="1" applyAlignment="1"/>
    <xf numFmtId="4" fontId="51" fillId="3" borderId="18" xfId="0" applyNumberFormat="1" applyFont="1" applyFill="1" applyBorder="1"/>
    <xf numFmtId="4" fontId="57" fillId="3" borderId="25" xfId="447" applyNumberFormat="1" applyFont="1" applyFill="1" applyBorder="1" applyAlignment="1">
      <alignment horizontal="center"/>
    </xf>
    <xf numFmtId="4" fontId="53" fillId="3" borderId="25" xfId="447" applyNumberFormat="1" applyFont="1" applyFill="1" applyBorder="1" applyAlignment="1">
      <alignment horizontal="center"/>
    </xf>
    <xf numFmtId="4" fontId="57" fillId="3" borderId="0" xfId="447" applyNumberFormat="1" applyFont="1" applyFill="1" applyBorder="1" applyAlignment="1">
      <alignment horizontal="center"/>
    </xf>
    <xf numFmtId="0" fontId="57" fillId="3" borderId="0" xfId="447" applyFont="1" applyFill="1" applyBorder="1"/>
    <xf numFmtId="0" fontId="53" fillId="3" borderId="0" xfId="447" applyFont="1" applyFill="1" applyAlignment="1">
      <alignment horizontal="left" indent="8"/>
    </xf>
    <xf numFmtId="0" fontId="57" fillId="3" borderId="0" xfId="761" applyFont="1" applyFill="1" applyAlignment="1"/>
    <xf numFmtId="171" fontId="61" fillId="3" borderId="0" xfId="686" applyNumberFormat="1" applyFont="1" applyFill="1" applyAlignment="1">
      <alignment vertical="center"/>
    </xf>
    <xf numFmtId="171" fontId="60" fillId="3" borderId="0" xfId="686" applyNumberFormat="1" applyFont="1" applyFill="1" applyAlignment="1">
      <alignment vertical="center"/>
    </xf>
    <xf numFmtId="171" fontId="62" fillId="3" borderId="0" xfId="686" applyNumberFormat="1" applyFont="1" applyFill="1" applyAlignment="1">
      <alignment vertical="center"/>
    </xf>
    <xf numFmtId="0" fontId="56" fillId="3" borderId="18" xfId="0" applyFont="1" applyFill="1" applyBorder="1" applyAlignment="1">
      <alignment horizontal="center" vertical="center" wrapText="1"/>
    </xf>
    <xf numFmtId="2" fontId="53" fillId="0" borderId="2" xfId="2" applyNumberFormat="1" applyFont="1" applyFill="1" applyBorder="1" applyAlignment="1">
      <alignment horizontal="center" vertical="center" wrapText="1"/>
    </xf>
    <xf numFmtId="2" fontId="53" fillId="0" borderId="2" xfId="2" applyNumberFormat="1" applyFont="1" applyFill="1" applyBorder="1" applyAlignment="1">
      <alignment horizontal="left" vertical="center" wrapText="1"/>
    </xf>
    <xf numFmtId="0" fontId="56" fillId="0" borderId="19" xfId="0" applyFont="1" applyFill="1" applyBorder="1" applyAlignment="1">
      <alignment horizontal="center" vertical="center" wrapText="1"/>
    </xf>
    <xf numFmtId="2" fontId="53" fillId="0" borderId="19" xfId="1" applyNumberFormat="1" applyFont="1" applyFill="1" applyBorder="1" applyAlignment="1">
      <alignment horizontal="center" vertical="center" wrapText="1"/>
    </xf>
    <xf numFmtId="3" fontId="56" fillId="3" borderId="19" xfId="0" applyNumberFormat="1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3" borderId="19" xfId="0" applyFont="1" applyFill="1" applyBorder="1" applyAlignment="1">
      <alignment horizontal="center" vertical="center" wrapText="1"/>
    </xf>
    <xf numFmtId="2" fontId="53" fillId="0" borderId="18" xfId="2" applyNumberFormat="1" applyFont="1" applyFill="1" applyBorder="1" applyAlignment="1">
      <alignment horizontal="center" vertical="center" wrapText="1"/>
    </xf>
    <xf numFmtId="2" fontId="53" fillId="0" borderId="18" xfId="2" applyNumberFormat="1" applyFont="1" applyFill="1" applyBorder="1" applyAlignment="1">
      <alignment horizontal="left" vertical="center" wrapText="1"/>
    </xf>
    <xf numFmtId="0" fontId="59" fillId="0" borderId="18" xfId="447" applyFont="1" applyFill="1" applyBorder="1" applyAlignment="1">
      <alignment horizontal="center" vertical="center"/>
    </xf>
    <xf numFmtId="0" fontId="53" fillId="0" borderId="18" xfId="447" applyFont="1" applyFill="1" applyBorder="1" applyAlignment="1">
      <alignment horizontal="center" vertical="center"/>
    </xf>
    <xf numFmtId="0" fontId="53" fillId="0" borderId="18" xfId="447" applyFont="1" applyFill="1" applyBorder="1" applyAlignment="1">
      <alignment horizontal="left" vertical="center" wrapText="1"/>
    </xf>
    <xf numFmtId="0" fontId="53" fillId="0" borderId="18" xfId="447" applyFont="1" applyBorder="1" applyAlignment="1">
      <alignment horizontal="center" vertical="center"/>
    </xf>
    <xf numFmtId="0" fontId="53" fillId="0" borderId="18" xfId="447" applyFont="1" applyBorder="1" applyAlignment="1">
      <alignment horizontal="center" vertical="center" wrapText="1"/>
    </xf>
    <xf numFmtId="0" fontId="57" fillId="0" borderId="20" xfId="447" applyFont="1" applyBorder="1" applyAlignment="1">
      <alignment vertical="top" wrapText="1"/>
    </xf>
    <xf numFmtId="4" fontId="52" fillId="0" borderId="0" xfId="0" applyNumberFormat="1" applyFont="1" applyAlignment="1">
      <alignment horizontal="center" vertical="center" wrapText="1"/>
    </xf>
    <xf numFmtId="4" fontId="57" fillId="0" borderId="0" xfId="0" applyNumberFormat="1" applyFont="1" applyFill="1" applyAlignment="1">
      <alignment horizontal="left" vertical="center" wrapText="1"/>
    </xf>
    <xf numFmtId="4" fontId="57" fillId="0" borderId="0" xfId="0" applyNumberFormat="1" applyFont="1" applyAlignment="1">
      <alignment horizontal="center" vertical="center" wrapText="1"/>
    </xf>
    <xf numFmtId="4" fontId="57" fillId="29" borderId="0" xfId="0" applyNumberFormat="1" applyFont="1" applyFill="1" applyAlignment="1">
      <alignment horizontal="center" vertical="center" wrapText="1"/>
    </xf>
    <xf numFmtId="4" fontId="68" fillId="0" borderId="0" xfId="0" applyNumberFormat="1" applyFont="1" applyAlignment="1">
      <alignment horizontal="center" vertical="center" wrapText="1"/>
    </xf>
    <xf numFmtId="4" fontId="53" fillId="0" borderId="0" xfId="0" applyNumberFormat="1" applyFont="1" applyFill="1" applyAlignment="1">
      <alignment horizontal="center" vertical="center" wrapText="1"/>
    </xf>
    <xf numFmtId="4" fontId="52" fillId="3" borderId="0" xfId="0" applyNumberFormat="1" applyFont="1" applyFill="1" applyAlignment="1">
      <alignment horizontal="center" vertical="center" wrapText="1"/>
    </xf>
    <xf numFmtId="2" fontId="57" fillId="0" borderId="0" xfId="0" applyNumberFormat="1" applyFont="1" applyFill="1" applyAlignment="1">
      <alignment horizontal="center" vertical="center"/>
    </xf>
    <xf numFmtId="3" fontId="52" fillId="0" borderId="0" xfId="0" applyNumberFormat="1" applyFont="1"/>
    <xf numFmtId="4" fontId="52" fillId="0" borderId="0" xfId="0" applyNumberFormat="1" applyFont="1"/>
    <xf numFmtId="4" fontId="53" fillId="0" borderId="0" xfId="1" applyNumberFormat="1" applyFont="1" applyAlignment="1">
      <alignment horizontal="center" vertical="center" wrapText="1"/>
    </xf>
    <xf numFmtId="4" fontId="53" fillId="0" borderId="0" xfId="1" applyNumberFormat="1" applyFont="1" applyFill="1" applyAlignment="1">
      <alignment horizontal="center" vertical="center" wrapText="1"/>
    </xf>
    <xf numFmtId="4" fontId="53" fillId="29" borderId="0" xfId="1" applyNumberFormat="1" applyFont="1" applyFill="1" applyAlignment="1">
      <alignment horizontal="center" vertical="center" wrapText="1"/>
    </xf>
    <xf numFmtId="4" fontId="51" fillId="3" borderId="0" xfId="1" applyNumberFormat="1" applyFont="1" applyFill="1" applyAlignment="1">
      <alignment horizontal="center" vertical="center" wrapText="1"/>
    </xf>
    <xf numFmtId="4" fontId="53" fillId="3" borderId="18" xfId="1" applyNumberFormat="1" applyFont="1" applyFill="1" applyBorder="1" applyAlignment="1">
      <alignment horizontal="center" vertical="center" wrapText="1"/>
    </xf>
    <xf numFmtId="4" fontId="53" fillId="0" borderId="18" xfId="1" applyNumberFormat="1" applyFont="1" applyFill="1" applyBorder="1" applyAlignment="1">
      <alignment horizontal="center" vertical="center" wrapText="1"/>
    </xf>
    <xf numFmtId="4" fontId="53" fillId="29" borderId="18" xfId="1" applyNumberFormat="1" applyFont="1" applyFill="1" applyBorder="1" applyAlignment="1">
      <alignment horizontal="center" vertical="center" wrapText="1"/>
    </xf>
    <xf numFmtId="4" fontId="51" fillId="0" borderId="18" xfId="0" applyNumberFormat="1" applyFont="1" applyBorder="1" applyAlignment="1">
      <alignment horizontal="center" vertical="center" wrapText="1"/>
    </xf>
    <xf numFmtId="4" fontId="67" fillId="0" borderId="18" xfId="0" applyNumberFormat="1" applyFont="1" applyBorder="1" applyAlignment="1">
      <alignment horizontal="center" vertical="center" wrapText="1"/>
    </xf>
    <xf numFmtId="4" fontId="53" fillId="0" borderId="18" xfId="0" applyNumberFormat="1" applyFont="1" applyBorder="1" applyAlignment="1">
      <alignment horizontal="center" vertical="center" wrapText="1"/>
    </xf>
    <xf numFmtId="4" fontId="67" fillId="0" borderId="18" xfId="0" applyNumberFormat="1" applyFont="1" applyFill="1" applyBorder="1" applyAlignment="1">
      <alignment horizontal="center" vertical="center" wrapText="1"/>
    </xf>
    <xf numFmtId="2" fontId="53" fillId="0" borderId="18" xfId="0" applyNumberFormat="1" applyFont="1" applyFill="1" applyBorder="1" applyAlignment="1">
      <alignment horizontal="center" vertical="center" wrapText="1"/>
    </xf>
    <xf numFmtId="4" fontId="53" fillId="3" borderId="18" xfId="0" applyNumberFormat="1" applyFont="1" applyFill="1" applyBorder="1" applyAlignment="1">
      <alignment horizontal="center" vertical="center" wrapText="1"/>
    </xf>
    <xf numFmtId="4" fontId="53" fillId="0" borderId="18" xfId="1" applyNumberFormat="1" applyFont="1" applyFill="1" applyBorder="1" applyAlignment="1">
      <alignment horizontal="left" vertical="center" wrapText="1"/>
    </xf>
    <xf numFmtId="4" fontId="67" fillId="3" borderId="18" xfId="1" applyNumberFormat="1" applyFont="1" applyFill="1" applyBorder="1" applyAlignment="1">
      <alignment horizontal="center" vertical="center" wrapText="1"/>
    </xf>
    <xf numFmtId="4" fontId="53" fillId="3" borderId="18" xfId="1" applyNumberFormat="1" applyFont="1" applyFill="1" applyBorder="1" applyAlignment="1">
      <alignment horizontal="right" vertical="center" wrapText="1"/>
    </xf>
    <xf numFmtId="4" fontId="51" fillId="3" borderId="18" xfId="1" applyNumberFormat="1" applyFont="1" applyFill="1" applyBorder="1" applyAlignment="1">
      <alignment horizontal="right" vertical="center" wrapText="1"/>
    </xf>
    <xf numFmtId="3" fontId="52" fillId="3" borderId="18" xfId="1" applyNumberFormat="1" applyFont="1" applyFill="1" applyBorder="1" applyAlignment="1">
      <alignment horizontal="right" vertical="center" wrapText="1"/>
    </xf>
    <xf numFmtId="4" fontId="51" fillId="0" borderId="18" xfId="0" applyNumberFormat="1" applyFont="1" applyBorder="1"/>
    <xf numFmtId="4" fontId="53" fillId="3" borderId="18" xfId="1" applyNumberFormat="1" applyFont="1" applyFill="1" applyBorder="1" applyAlignment="1">
      <alignment horizontal="center" vertical="center"/>
    </xf>
    <xf numFmtId="4" fontId="67" fillId="3" borderId="18" xfId="1" applyNumberFormat="1" applyFont="1" applyFill="1" applyBorder="1" applyAlignment="1">
      <alignment horizontal="center" vertical="center"/>
    </xf>
    <xf numFmtId="4" fontId="67" fillId="0" borderId="18" xfId="1" applyNumberFormat="1" applyFont="1" applyFill="1" applyBorder="1" applyAlignment="1">
      <alignment horizontal="center" vertical="center"/>
    </xf>
    <xf numFmtId="4" fontId="53" fillId="0" borderId="18" xfId="1" applyNumberFormat="1" applyFont="1" applyFill="1" applyBorder="1" applyAlignment="1">
      <alignment horizontal="center" vertical="center"/>
    </xf>
    <xf numFmtId="4" fontId="51" fillId="3" borderId="18" xfId="0" applyNumberFormat="1" applyFont="1" applyFill="1" applyBorder="1" applyAlignment="1">
      <alignment horizontal="right" vertical="center"/>
    </xf>
    <xf numFmtId="4" fontId="51" fillId="3" borderId="18" xfId="1" applyNumberFormat="1" applyFont="1" applyFill="1" applyBorder="1" applyAlignment="1">
      <alignment horizontal="right" vertical="center"/>
    </xf>
    <xf numFmtId="4" fontId="52" fillId="0" borderId="18" xfId="0" applyNumberFormat="1" applyFont="1" applyBorder="1" applyAlignment="1">
      <alignment vertical="center"/>
    </xf>
    <xf numFmtId="4" fontId="57" fillId="3" borderId="18" xfId="1" applyNumberFormat="1" applyFont="1" applyFill="1" applyBorder="1" applyAlignment="1">
      <alignment horizontal="center" vertical="center" wrapText="1"/>
    </xf>
    <xf numFmtId="4" fontId="57" fillId="0" borderId="18" xfId="1" applyNumberFormat="1" applyFont="1" applyFill="1" applyBorder="1" applyAlignment="1">
      <alignment horizontal="left" vertical="center" wrapText="1"/>
    </xf>
    <xf numFmtId="4" fontId="57" fillId="0" borderId="18" xfId="0" applyNumberFormat="1" applyFont="1" applyBorder="1" applyAlignment="1">
      <alignment horizontal="center" vertical="center" wrapText="1"/>
    </xf>
    <xf numFmtId="4" fontId="57" fillId="29" borderId="18" xfId="0" applyNumberFormat="1" applyFont="1" applyFill="1" applyBorder="1" applyAlignment="1">
      <alignment horizontal="center" vertical="center" wrapText="1"/>
    </xf>
    <xf numFmtId="4" fontId="57" fillId="0" borderId="18" xfId="0" applyNumberFormat="1" applyFont="1" applyBorder="1" applyAlignment="1">
      <alignment horizontal="center" vertical="center"/>
    </xf>
    <xf numFmtId="4" fontId="52" fillId="0" borderId="18" xfId="0" applyNumberFormat="1" applyFont="1" applyBorder="1" applyAlignment="1">
      <alignment horizontal="center" vertical="center"/>
    </xf>
    <xf numFmtId="4" fontId="68" fillId="0" borderId="18" xfId="0" applyNumberFormat="1" applyFont="1" applyBorder="1" applyAlignment="1">
      <alignment horizontal="center" vertical="center"/>
    </xf>
    <xf numFmtId="4" fontId="57" fillId="0" borderId="18" xfId="0" applyNumberFormat="1" applyFont="1" applyFill="1" applyBorder="1" applyAlignment="1">
      <alignment horizontal="center" vertical="center"/>
    </xf>
    <xf numFmtId="4" fontId="68" fillId="0" borderId="18" xfId="0" applyNumberFormat="1" applyFont="1" applyFill="1" applyBorder="1" applyAlignment="1">
      <alignment horizontal="center" vertical="center"/>
    </xf>
    <xf numFmtId="4" fontId="57" fillId="3" borderId="18" xfId="0" applyNumberFormat="1" applyFont="1" applyFill="1" applyBorder="1" applyAlignment="1">
      <alignment horizontal="center" vertical="center"/>
    </xf>
    <xf numFmtId="4" fontId="52" fillId="3" borderId="18" xfId="0" applyNumberFormat="1" applyFont="1" applyFill="1" applyBorder="1" applyAlignment="1">
      <alignment horizontal="right" vertical="center"/>
    </xf>
    <xf numFmtId="2" fontId="57" fillId="0" borderId="18" xfId="0" applyNumberFormat="1" applyFont="1" applyFill="1" applyBorder="1" applyAlignment="1">
      <alignment horizontal="right" vertical="center"/>
    </xf>
    <xf numFmtId="4" fontId="57" fillId="0" borderId="18" xfId="0" applyNumberFormat="1" applyFont="1" applyFill="1" applyBorder="1" applyAlignment="1">
      <alignment horizontal="left" vertical="center" wrapText="1"/>
    </xf>
    <xf numFmtId="4" fontId="52" fillId="0" borderId="18" xfId="0" applyNumberFormat="1" applyFont="1" applyFill="1" applyBorder="1" applyAlignment="1">
      <alignment horizontal="center" vertical="center"/>
    </xf>
    <xf numFmtId="3" fontId="53" fillId="3" borderId="18" xfId="1" applyNumberFormat="1" applyFont="1" applyFill="1" applyBorder="1" applyAlignment="1">
      <alignment horizontal="center" vertical="center" wrapText="1"/>
    </xf>
    <xf numFmtId="4" fontId="57" fillId="0" borderId="18" xfId="0" applyNumberFormat="1" applyFont="1" applyBorder="1" applyAlignment="1">
      <alignment horizontal="right" vertical="center"/>
    </xf>
    <xf numFmtId="4" fontId="57" fillId="29" borderId="18" xfId="1" applyNumberFormat="1" applyFont="1" applyFill="1" applyBorder="1" applyAlignment="1">
      <alignment horizontal="center" vertical="center" wrapText="1"/>
    </xf>
    <xf numFmtId="4" fontId="57" fillId="0" borderId="18" xfId="1" applyNumberFormat="1" applyFont="1" applyFill="1" applyBorder="1" applyAlignment="1">
      <alignment horizontal="center" vertical="center"/>
    </xf>
    <xf numFmtId="4" fontId="57" fillId="3" borderId="18" xfId="1" applyNumberFormat="1" applyFont="1" applyFill="1" applyBorder="1" applyAlignment="1">
      <alignment horizontal="center" vertical="center"/>
    </xf>
    <xf numFmtId="4" fontId="53" fillId="0" borderId="18" xfId="0" applyNumberFormat="1" applyFont="1" applyBorder="1" applyAlignment="1">
      <alignment horizontal="center" vertical="center"/>
    </xf>
    <xf numFmtId="4" fontId="67" fillId="0" borderId="18" xfId="0" applyNumberFormat="1" applyFont="1" applyFill="1" applyBorder="1" applyAlignment="1">
      <alignment horizontal="center" vertical="center"/>
    </xf>
    <xf numFmtId="4" fontId="51" fillId="0" borderId="18" xfId="0" applyNumberFormat="1" applyFont="1" applyBorder="1" applyAlignment="1">
      <alignment horizontal="center" vertical="center"/>
    </xf>
    <xf numFmtId="4" fontId="53" fillId="0" borderId="18" xfId="0" applyNumberFormat="1" applyFont="1" applyFill="1" applyBorder="1" applyAlignment="1">
      <alignment horizontal="center" vertical="center"/>
    </xf>
    <xf numFmtId="4" fontId="53" fillId="0" borderId="18" xfId="0" applyNumberFormat="1" applyFont="1" applyBorder="1" applyAlignment="1">
      <alignment horizontal="right" vertical="center"/>
    </xf>
    <xf numFmtId="4" fontId="51" fillId="3" borderId="18" xfId="0" applyNumberFormat="1" applyFont="1" applyFill="1" applyBorder="1" applyAlignment="1">
      <alignment horizontal="right" vertical="center" wrapText="1"/>
    </xf>
    <xf numFmtId="4" fontId="57" fillId="0" borderId="18" xfId="1" applyNumberFormat="1" applyFont="1" applyFill="1" applyBorder="1" applyAlignment="1">
      <alignment horizontal="center" vertical="center" wrapText="1"/>
    </xf>
    <xf numFmtId="4" fontId="57" fillId="0" borderId="18" xfId="0" applyNumberFormat="1" applyFont="1" applyFill="1" applyBorder="1" applyAlignment="1">
      <alignment horizontal="center" vertical="center" wrapText="1"/>
    </xf>
    <xf numFmtId="4" fontId="53" fillId="3" borderId="18" xfId="0" applyNumberFormat="1" applyFont="1" applyFill="1" applyBorder="1" applyAlignment="1">
      <alignment horizontal="right" vertical="center"/>
    </xf>
    <xf numFmtId="49" fontId="57" fillId="0" borderId="18" xfId="1" applyNumberFormat="1" applyFont="1" applyFill="1" applyBorder="1" applyAlignment="1">
      <alignment horizontal="center" vertical="center" wrapText="1"/>
    </xf>
    <xf numFmtId="4" fontId="57" fillId="0" borderId="18" xfId="1" applyNumberFormat="1" applyFont="1" applyFill="1" applyBorder="1" applyAlignment="1">
      <alignment horizontal="left" wrapText="1"/>
    </xf>
    <xf numFmtId="49" fontId="53" fillId="0" borderId="18" xfId="1" applyNumberFormat="1" applyFont="1" applyFill="1" applyBorder="1" applyAlignment="1">
      <alignment horizontal="center" vertical="center" wrapText="1"/>
    </xf>
    <xf numFmtId="4" fontId="67" fillId="0" borderId="18" xfId="0" applyNumberFormat="1" applyFont="1" applyBorder="1" applyAlignment="1">
      <alignment horizontal="center" vertical="center"/>
    </xf>
    <xf numFmtId="4" fontId="53" fillId="29" borderId="18" xfId="0" applyNumberFormat="1" applyFont="1" applyFill="1" applyBorder="1" applyAlignment="1">
      <alignment horizontal="center" vertical="center" wrapText="1"/>
    </xf>
    <xf numFmtId="4" fontId="51" fillId="0" borderId="18" xfId="0" applyNumberFormat="1" applyFont="1" applyBorder="1" applyAlignment="1">
      <alignment horizontal="right"/>
    </xf>
    <xf numFmtId="49" fontId="53" fillId="3" borderId="18" xfId="1" applyNumberFormat="1" applyFont="1" applyFill="1" applyBorder="1" applyAlignment="1">
      <alignment horizontal="center" vertical="center" wrapText="1"/>
    </xf>
    <xf numFmtId="49" fontId="57" fillId="3" borderId="18" xfId="1" applyNumberFormat="1" applyFont="1" applyFill="1" applyBorder="1" applyAlignment="1">
      <alignment horizontal="center" vertical="center" wrapText="1"/>
    </xf>
    <xf numFmtId="4" fontId="53" fillId="0" borderId="18" xfId="0" applyNumberFormat="1" applyFont="1" applyFill="1" applyBorder="1" applyAlignment="1">
      <alignment horizontal="center" vertical="center" wrapText="1"/>
    </xf>
    <xf numFmtId="4" fontId="51" fillId="0" borderId="18" xfId="0" applyNumberFormat="1" applyFont="1" applyFill="1" applyBorder="1" applyAlignment="1">
      <alignment horizontal="center" vertical="center"/>
    </xf>
    <xf numFmtId="4" fontId="53" fillId="0" borderId="18" xfId="0" applyNumberFormat="1" applyFont="1" applyFill="1" applyBorder="1" applyAlignment="1">
      <alignment horizontal="right" vertical="center"/>
    </xf>
    <xf numFmtId="3" fontId="51" fillId="3" borderId="18" xfId="1" applyNumberFormat="1" applyFont="1" applyFill="1" applyBorder="1" applyAlignment="1">
      <alignment horizontal="right" vertical="center" wrapText="1"/>
    </xf>
    <xf numFmtId="4" fontId="51" fillId="0" borderId="0" xfId="0" applyNumberFormat="1" applyFont="1"/>
    <xf numFmtId="4" fontId="69" fillId="0" borderId="18" xfId="1" applyNumberFormat="1" applyFont="1" applyFill="1" applyBorder="1" applyAlignment="1">
      <alignment horizontal="left" vertical="center" wrapText="1"/>
    </xf>
    <xf numFmtId="166" fontId="53" fillId="0" borderId="18" xfId="1" applyNumberFormat="1" applyFont="1" applyFill="1" applyBorder="1" applyAlignment="1">
      <alignment horizontal="left" vertical="center" wrapText="1"/>
    </xf>
    <xf numFmtId="166" fontId="53" fillId="3" borderId="18" xfId="1" applyNumberFormat="1" applyFont="1" applyFill="1" applyBorder="1" applyAlignment="1">
      <alignment horizontal="center" vertical="center" wrapText="1"/>
    </xf>
    <xf numFmtId="171" fontId="53" fillId="3" borderId="18" xfId="1" applyNumberFormat="1" applyFont="1" applyFill="1" applyBorder="1" applyAlignment="1">
      <alignment horizontal="center" vertical="center" wrapText="1"/>
    </xf>
    <xf numFmtId="171" fontId="53" fillId="29" borderId="18" xfId="1" applyNumberFormat="1" applyFont="1" applyFill="1" applyBorder="1" applyAlignment="1">
      <alignment horizontal="center" vertical="center" wrapText="1"/>
    </xf>
    <xf numFmtId="171" fontId="53" fillId="0" borderId="18" xfId="1" applyNumberFormat="1" applyFont="1" applyFill="1" applyBorder="1" applyAlignment="1">
      <alignment horizontal="right" vertical="center"/>
    </xf>
    <xf numFmtId="4" fontId="53" fillId="0" borderId="18" xfId="0" applyNumberFormat="1" applyFont="1" applyFill="1" applyBorder="1" applyAlignment="1">
      <alignment wrapText="1"/>
    </xf>
    <xf numFmtId="3" fontId="53" fillId="29" borderId="18" xfId="1" applyNumberFormat="1" applyFont="1" applyFill="1" applyBorder="1" applyAlignment="1">
      <alignment horizontal="center" vertical="center" wrapText="1"/>
    </xf>
    <xf numFmtId="1" fontId="53" fillId="0" borderId="18" xfId="0" applyNumberFormat="1" applyFont="1" applyFill="1" applyBorder="1" applyAlignment="1">
      <alignment horizontal="right" vertical="center"/>
    </xf>
    <xf numFmtId="4" fontId="57" fillId="0" borderId="18" xfId="0" applyNumberFormat="1" applyFont="1" applyFill="1" applyBorder="1" applyAlignment="1"/>
    <xf numFmtId="3" fontId="57" fillId="3" borderId="18" xfId="1" applyNumberFormat="1" applyFont="1" applyFill="1" applyBorder="1" applyAlignment="1">
      <alignment horizontal="center" vertical="center" wrapText="1"/>
    </xf>
    <xf numFmtId="3" fontId="57" fillId="29" borderId="18" xfId="1" applyNumberFormat="1" applyFont="1" applyFill="1" applyBorder="1" applyAlignment="1">
      <alignment horizontal="center" vertical="center" wrapText="1"/>
    </xf>
    <xf numFmtId="4" fontId="68" fillId="3" borderId="18" xfId="1" applyNumberFormat="1" applyFont="1" applyFill="1" applyBorder="1" applyAlignment="1">
      <alignment horizontal="center" vertical="center"/>
    </xf>
    <xf numFmtId="4" fontId="68" fillId="0" borderId="18" xfId="1" applyNumberFormat="1" applyFont="1" applyFill="1" applyBorder="1" applyAlignment="1">
      <alignment horizontal="center" vertical="center"/>
    </xf>
    <xf numFmtId="1" fontId="57" fillId="0" borderId="18" xfId="0" applyNumberFormat="1" applyFont="1" applyFill="1" applyBorder="1" applyAlignment="1">
      <alignment horizontal="right" vertical="center"/>
    </xf>
    <xf numFmtId="4" fontId="67" fillId="0" borderId="18" xfId="1" applyNumberFormat="1" applyFont="1" applyFill="1" applyBorder="1" applyAlignment="1">
      <alignment horizontal="center" vertical="center" wrapText="1"/>
    </xf>
    <xf numFmtId="3" fontId="51" fillId="0" borderId="18" xfId="0" applyNumberFormat="1" applyFont="1" applyBorder="1" applyAlignment="1">
      <alignment horizontal="right"/>
    </xf>
    <xf numFmtId="4" fontId="53" fillId="3" borderId="0" xfId="1" applyNumberFormat="1" applyFont="1" applyFill="1" applyBorder="1" applyAlignment="1">
      <alignment horizontal="center" vertical="center" wrapText="1"/>
    </xf>
    <xf numFmtId="4" fontId="57" fillId="0" borderId="0" xfId="0" applyNumberFormat="1" applyFont="1" applyFill="1" applyBorder="1" applyAlignment="1"/>
    <xf numFmtId="4" fontId="57" fillId="0" borderId="0" xfId="0" applyNumberFormat="1" applyFont="1" applyBorder="1" applyAlignment="1">
      <alignment horizontal="center" vertical="center"/>
    </xf>
    <xf numFmtId="4" fontId="53" fillId="29" borderId="0" xfId="1" applyNumberFormat="1" applyFont="1" applyFill="1" applyBorder="1" applyAlignment="1">
      <alignment horizontal="center" vertical="center" wrapText="1"/>
    </xf>
    <xf numFmtId="4" fontId="67" fillId="3" borderId="0" xfId="1" applyNumberFormat="1" applyFont="1" applyFill="1" applyBorder="1" applyAlignment="1">
      <alignment horizontal="center" vertical="center" wrapText="1"/>
    </xf>
    <xf numFmtId="4" fontId="67" fillId="0" borderId="0" xfId="1" applyNumberFormat="1" applyFont="1" applyFill="1" applyBorder="1" applyAlignment="1">
      <alignment horizontal="center" vertical="center" wrapText="1"/>
    </xf>
    <xf numFmtId="4" fontId="53" fillId="0" borderId="0" xfId="0" applyNumberFormat="1" applyFont="1" applyBorder="1" applyAlignment="1">
      <alignment horizontal="center" vertical="center" wrapText="1"/>
    </xf>
    <xf numFmtId="4" fontId="51" fillId="3" borderId="0" xfId="0" applyNumberFormat="1" applyFont="1" applyFill="1" applyBorder="1" applyAlignment="1">
      <alignment horizontal="center" vertical="center" wrapText="1"/>
    </xf>
    <xf numFmtId="2" fontId="53" fillId="0" borderId="0" xfId="0" applyNumberFormat="1" applyFont="1" applyFill="1" applyAlignment="1">
      <alignment horizontal="center" vertical="center"/>
    </xf>
    <xf numFmtId="3" fontId="51" fillId="0" borderId="0" xfId="0" applyNumberFormat="1" applyFont="1"/>
    <xf numFmtId="4" fontId="68" fillId="0" borderId="0" xfId="0" applyNumberFormat="1" applyFont="1" applyBorder="1" applyAlignment="1">
      <alignment horizontal="center" vertical="center" wrapText="1"/>
    </xf>
    <xf numFmtId="4" fontId="51" fillId="0" borderId="0" xfId="0" applyNumberFormat="1" applyFont="1" applyAlignment="1">
      <alignment vertical="center" wrapText="1"/>
    </xf>
    <xf numFmtId="4" fontId="51" fillId="29" borderId="0" xfId="0" applyNumberFormat="1" applyFont="1" applyFill="1" applyAlignment="1">
      <alignment vertical="center" wrapText="1"/>
    </xf>
    <xf numFmtId="4" fontId="51" fillId="0" borderId="0" xfId="0" applyNumberFormat="1" applyFont="1" applyAlignment="1">
      <alignment horizontal="left" vertical="center" wrapText="1"/>
    </xf>
    <xf numFmtId="4" fontId="51" fillId="0" borderId="0" xfId="0" applyNumberFormat="1" applyFont="1" applyAlignment="1">
      <alignment horizontal="center" vertical="center" wrapText="1"/>
    </xf>
    <xf numFmtId="4" fontId="53" fillId="0" borderId="0" xfId="0" applyNumberFormat="1" applyFont="1" applyAlignment="1">
      <alignment horizontal="center" vertical="center" wrapText="1"/>
    </xf>
    <xf numFmtId="4" fontId="51" fillId="0" borderId="0" xfId="0" applyNumberFormat="1" applyFont="1" applyFill="1" applyAlignment="1">
      <alignment horizontal="center" vertical="center" wrapText="1"/>
    </xf>
    <xf numFmtId="4" fontId="53" fillId="0" borderId="0" xfId="0" applyNumberFormat="1" applyFont="1" applyAlignment="1">
      <alignment vertical="center" wrapText="1"/>
    </xf>
    <xf numFmtId="4" fontId="53" fillId="29" borderId="0" xfId="0" applyNumberFormat="1" applyFont="1" applyFill="1" applyAlignment="1">
      <alignment vertical="center" wrapText="1"/>
    </xf>
    <xf numFmtId="4" fontId="67" fillId="0" borderId="0" xfId="0" applyNumberFormat="1" applyFont="1" applyAlignment="1">
      <alignment horizontal="center" vertical="center" wrapText="1"/>
    </xf>
    <xf numFmtId="171" fontId="58" fillId="3" borderId="0" xfId="0" applyNumberFormat="1" applyFont="1" applyFill="1" applyAlignment="1">
      <alignment vertical="center"/>
    </xf>
    <xf numFmtId="4" fontId="56" fillId="0" borderId="18" xfId="917" applyNumberFormat="1" applyFont="1" applyFill="1" applyBorder="1" applyAlignment="1">
      <alignment horizontal="right" vertical="center"/>
    </xf>
    <xf numFmtId="4" fontId="56" fillId="3" borderId="18" xfId="917" applyNumberFormat="1" applyFont="1" applyFill="1" applyBorder="1" applyAlignment="1">
      <alignment horizontal="right" vertical="center"/>
    </xf>
    <xf numFmtId="3" fontId="58" fillId="3" borderId="18" xfId="917" applyNumberFormat="1" applyFont="1" applyFill="1" applyBorder="1" applyAlignment="1">
      <alignment horizontal="right" vertical="center"/>
    </xf>
    <xf numFmtId="0" fontId="56" fillId="0" borderId="18" xfId="0" applyFont="1" applyBorder="1" applyAlignment="1">
      <alignment vertical="center"/>
    </xf>
    <xf numFmtId="1" fontId="57" fillId="0" borderId="18" xfId="2" applyNumberFormat="1" applyFont="1" applyFill="1" applyBorder="1" applyAlignment="1">
      <alignment horizontal="center" vertical="center" wrapText="1"/>
    </xf>
    <xf numFmtId="4" fontId="58" fillId="3" borderId="18" xfId="0" applyNumberFormat="1" applyFont="1" applyFill="1" applyBorder="1" applyAlignment="1">
      <alignment horizontal="right" vertical="center"/>
    </xf>
    <xf numFmtId="0" fontId="58" fillId="0" borderId="18" xfId="0" applyFont="1" applyBorder="1" applyAlignment="1">
      <alignment horizontal="right" vertical="center"/>
    </xf>
    <xf numFmtId="4" fontId="58" fillId="0" borderId="18" xfId="0" applyNumberFormat="1" applyFont="1" applyBorder="1" applyAlignment="1">
      <alignment horizontal="right" vertical="center"/>
    </xf>
    <xf numFmtId="4" fontId="56" fillId="3" borderId="18" xfId="0" applyNumberFormat="1" applyFont="1" applyFill="1" applyBorder="1" applyAlignment="1">
      <alignment horizontal="right" vertical="center"/>
    </xf>
    <xf numFmtId="0" fontId="58" fillId="0" borderId="18" xfId="0" applyFont="1" applyBorder="1" applyAlignment="1">
      <alignment vertical="center" wrapText="1"/>
    </xf>
    <xf numFmtId="2" fontId="53" fillId="30" borderId="18" xfId="2" applyNumberFormat="1" applyFont="1" applyFill="1" applyBorder="1" applyAlignment="1">
      <alignment horizontal="center" vertical="center" wrapText="1"/>
    </xf>
    <xf numFmtId="2" fontId="53" fillId="30" borderId="18" xfId="2" applyNumberFormat="1" applyFont="1" applyFill="1" applyBorder="1" applyAlignment="1">
      <alignment horizontal="left" vertical="center" wrapText="1"/>
    </xf>
    <xf numFmtId="4" fontId="56" fillId="30" borderId="18" xfId="917" applyNumberFormat="1" applyFont="1" applyFill="1" applyBorder="1" applyAlignment="1">
      <alignment horizontal="right" vertical="center"/>
    </xf>
    <xf numFmtId="0" fontId="58" fillId="30" borderId="18" xfId="0" applyFont="1" applyFill="1" applyBorder="1" applyAlignment="1">
      <alignment vertical="center"/>
    </xf>
    <xf numFmtId="0" fontId="53" fillId="3" borderId="18" xfId="1" applyFont="1" applyFill="1" applyBorder="1" applyAlignment="1">
      <alignment horizontal="left" vertical="center" wrapText="1"/>
    </xf>
    <xf numFmtId="3" fontId="56" fillId="0" borderId="18" xfId="917" applyNumberFormat="1" applyFont="1" applyFill="1" applyBorder="1" applyAlignment="1">
      <alignment horizontal="right" vertical="center"/>
    </xf>
    <xf numFmtId="171" fontId="58" fillId="0" borderId="18" xfId="0" applyNumberFormat="1" applyFont="1" applyBorder="1" applyAlignment="1">
      <alignment horizontal="right" vertical="center"/>
    </xf>
    <xf numFmtId="3" fontId="58" fillId="0" borderId="18" xfId="0" applyNumberFormat="1" applyFont="1" applyBorder="1" applyAlignment="1">
      <alignment horizontal="right" vertical="center"/>
    </xf>
    <xf numFmtId="171" fontId="58" fillId="0" borderId="18" xfId="0" applyNumberFormat="1" applyFont="1" applyBorder="1" applyAlignment="1">
      <alignment vertical="center"/>
    </xf>
    <xf numFmtId="2" fontId="56" fillId="0" borderId="18" xfId="861" applyNumberFormat="1" applyFont="1" applyFill="1" applyBorder="1" applyAlignment="1">
      <alignment vertical="center"/>
    </xf>
    <xf numFmtId="1" fontId="56" fillId="0" borderId="18" xfId="861" applyNumberFormat="1" applyFont="1" applyFill="1" applyBorder="1" applyAlignment="1">
      <alignment vertical="center"/>
    </xf>
    <xf numFmtId="4" fontId="56" fillId="0" borderId="18" xfId="861" applyNumberFormat="1" applyFont="1" applyFill="1" applyBorder="1" applyAlignment="1">
      <alignment horizontal="right" vertical="center"/>
    </xf>
    <xf numFmtId="4" fontId="56" fillId="3" borderId="18" xfId="861" applyNumberFormat="1" applyFont="1" applyFill="1" applyBorder="1" applyAlignment="1">
      <alignment horizontal="right" vertical="center"/>
    </xf>
    <xf numFmtId="3" fontId="56" fillId="0" borderId="18" xfId="917" applyNumberFormat="1" applyFont="1" applyFill="1" applyBorder="1" applyAlignment="1">
      <alignment vertical="center"/>
    </xf>
    <xf numFmtId="171" fontId="56" fillId="0" borderId="18" xfId="917" applyNumberFormat="1" applyFont="1" applyFill="1" applyBorder="1" applyAlignment="1">
      <alignment vertical="center"/>
    </xf>
    <xf numFmtId="171" fontId="56" fillId="0" borderId="18" xfId="917" applyNumberFormat="1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right" vertical="center"/>
    </xf>
    <xf numFmtId="171" fontId="56" fillId="3" borderId="18" xfId="0" applyNumberFormat="1" applyFont="1" applyFill="1" applyBorder="1" applyAlignment="1">
      <alignment horizontal="right" vertical="center"/>
    </xf>
    <xf numFmtId="0" fontId="58" fillId="0" borderId="18" xfId="0" applyFont="1" applyFill="1" applyBorder="1" applyAlignment="1">
      <alignment horizontal="right" vertical="center"/>
    </xf>
    <xf numFmtId="171" fontId="58" fillId="3" borderId="18" xfId="0" applyNumberFormat="1" applyFont="1" applyFill="1" applyBorder="1" applyAlignment="1">
      <alignment horizontal="right" vertical="center"/>
    </xf>
    <xf numFmtId="0" fontId="56" fillId="0" borderId="18" xfId="0" applyFont="1" applyBorder="1" applyAlignment="1">
      <alignment horizontal="right" vertical="center"/>
    </xf>
    <xf numFmtId="3" fontId="56" fillId="3" borderId="18" xfId="0" applyNumberFormat="1" applyFont="1" applyFill="1" applyBorder="1" applyAlignment="1">
      <alignment horizontal="right" vertical="center"/>
    </xf>
    <xf numFmtId="3" fontId="58" fillId="3" borderId="18" xfId="0" applyNumberFormat="1" applyFont="1" applyFill="1" applyBorder="1" applyAlignment="1">
      <alignment horizontal="right" vertical="center"/>
    </xf>
    <xf numFmtId="0" fontId="52" fillId="0" borderId="18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3" fontId="58" fillId="0" borderId="0" xfId="0" applyNumberFormat="1" applyFont="1" applyFill="1" applyBorder="1" applyAlignment="1">
      <alignment horizontal="right" vertical="center"/>
    </xf>
    <xf numFmtId="3" fontId="58" fillId="3" borderId="0" xfId="0" applyNumberFormat="1" applyFont="1" applyFill="1" applyBorder="1" applyAlignment="1">
      <alignment horizontal="right" vertical="center"/>
    </xf>
    <xf numFmtId="0" fontId="58" fillId="0" borderId="0" xfId="0" applyFont="1" applyBorder="1" applyAlignment="1">
      <alignment horizontal="right" vertical="center"/>
    </xf>
    <xf numFmtId="4" fontId="58" fillId="0" borderId="2" xfId="0" applyNumberFormat="1" applyFont="1" applyFill="1" applyBorder="1" applyAlignment="1">
      <alignment vertical="center"/>
    </xf>
    <xf numFmtId="4" fontId="58" fillId="0" borderId="18" xfId="0" applyNumberFormat="1" applyFont="1" applyFill="1" applyBorder="1" applyAlignment="1">
      <alignment vertical="center"/>
    </xf>
    <xf numFmtId="4" fontId="57" fillId="3" borderId="2" xfId="917" applyNumberFormat="1" applyFont="1" applyFill="1" applyBorder="1" applyAlignment="1">
      <alignment horizontal="right" vertical="center"/>
    </xf>
    <xf numFmtId="4" fontId="58" fillId="0" borderId="18" xfId="0" applyNumberFormat="1" applyFont="1" applyBorder="1" applyAlignment="1">
      <alignment vertical="center"/>
    </xf>
    <xf numFmtId="3" fontId="56" fillId="3" borderId="18" xfId="917" applyNumberFormat="1" applyFont="1" applyFill="1" applyBorder="1" applyAlignment="1">
      <alignment horizontal="right" vertical="center"/>
    </xf>
    <xf numFmtId="173" fontId="56" fillId="0" borderId="2" xfId="0" applyNumberFormat="1" applyFont="1" applyBorder="1" applyAlignment="1">
      <alignment vertical="center"/>
    </xf>
    <xf numFmtId="4" fontId="56" fillId="0" borderId="2" xfId="917" applyNumberFormat="1" applyFont="1" applyFill="1" applyBorder="1" applyAlignment="1">
      <alignment vertical="center"/>
    </xf>
    <xf numFmtId="2" fontId="56" fillId="0" borderId="2" xfId="0" applyNumberFormat="1" applyFont="1" applyBorder="1" applyAlignment="1">
      <alignment vertical="center"/>
    </xf>
    <xf numFmtId="4" fontId="56" fillId="3" borderId="2" xfId="917" applyNumberFormat="1" applyFont="1" applyFill="1" applyBorder="1" applyAlignment="1">
      <alignment vertical="center"/>
    </xf>
    <xf numFmtId="171" fontId="56" fillId="3" borderId="18" xfId="917" applyNumberFormat="1" applyFont="1" applyFill="1" applyBorder="1" applyAlignment="1">
      <alignment vertical="center"/>
    </xf>
    <xf numFmtId="3" fontId="56" fillId="3" borderId="18" xfId="917" applyNumberFormat="1" applyFont="1" applyFill="1" applyBorder="1" applyAlignment="1">
      <alignment vertical="center"/>
    </xf>
    <xf numFmtId="1" fontId="56" fillId="0" borderId="2" xfId="861" applyNumberFormat="1" applyFont="1" applyFill="1" applyBorder="1" applyAlignment="1">
      <alignment vertical="center"/>
    </xf>
    <xf numFmtId="1" fontId="56" fillId="0" borderId="2" xfId="0" applyNumberFormat="1" applyFont="1" applyBorder="1" applyAlignment="1">
      <alignment vertical="center"/>
    </xf>
    <xf numFmtId="1" fontId="56" fillId="3" borderId="2" xfId="861" applyNumberFormat="1" applyFont="1" applyFill="1" applyBorder="1" applyAlignment="1">
      <alignment vertical="center"/>
    </xf>
    <xf numFmtId="1" fontId="56" fillId="3" borderId="18" xfId="861" applyNumberFormat="1" applyFont="1" applyFill="1" applyBorder="1" applyAlignment="1">
      <alignment vertical="center"/>
    </xf>
    <xf numFmtId="3" fontId="56" fillId="3" borderId="18" xfId="861" applyNumberFormat="1" applyFont="1" applyFill="1" applyBorder="1" applyAlignment="1">
      <alignment vertical="center"/>
    </xf>
    <xf numFmtId="2" fontId="56" fillId="3" borderId="2" xfId="917" applyNumberFormat="1" applyFont="1" applyFill="1" applyBorder="1" applyAlignment="1">
      <alignment vertical="center"/>
    </xf>
    <xf numFmtId="171" fontId="56" fillId="3" borderId="18" xfId="917" applyNumberFormat="1" applyFont="1" applyFill="1" applyBorder="1" applyAlignment="1">
      <alignment horizontal="right" vertical="center"/>
    </xf>
    <xf numFmtId="3" fontId="58" fillId="0" borderId="2" xfId="0" applyNumberFormat="1" applyFont="1" applyFill="1" applyBorder="1" applyAlignment="1">
      <alignment horizontal="right" vertical="center"/>
    </xf>
    <xf numFmtId="3" fontId="56" fillId="0" borderId="2" xfId="0" applyNumberFormat="1" applyFont="1" applyBorder="1" applyAlignment="1">
      <alignment vertical="center"/>
    </xf>
    <xf numFmtId="3" fontId="56" fillId="3" borderId="2" xfId="0" applyNumberFormat="1" applyFont="1" applyFill="1" applyBorder="1" applyAlignment="1">
      <alignment horizontal="right" vertical="center"/>
    </xf>
    <xf numFmtId="3" fontId="58" fillId="0" borderId="2" xfId="0" applyNumberFormat="1" applyFont="1" applyBorder="1" applyAlignment="1">
      <alignment vertical="center"/>
    </xf>
    <xf numFmtId="3" fontId="58" fillId="3" borderId="2" xfId="0" applyNumberFormat="1" applyFont="1" applyFill="1" applyBorder="1" applyAlignment="1">
      <alignment horizontal="right" vertical="center"/>
    </xf>
    <xf numFmtId="3" fontId="56" fillId="3" borderId="18" xfId="0" applyNumberFormat="1" applyFont="1" applyFill="1" applyBorder="1" applyAlignment="1">
      <alignment vertical="center"/>
    </xf>
    <xf numFmtId="3" fontId="58" fillId="3" borderId="18" xfId="0" applyNumberFormat="1" applyFont="1" applyFill="1" applyBorder="1" applyAlignment="1">
      <alignment vertical="center"/>
    </xf>
    <xf numFmtId="3" fontId="58" fillId="0" borderId="0" xfId="0" applyNumberFormat="1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171" fontId="57" fillId="3" borderId="18" xfId="2" applyNumberFormat="1" applyFont="1" applyFill="1" applyBorder="1" applyAlignment="1">
      <alignment horizontal="center" vertical="center" wrapText="1"/>
    </xf>
    <xf numFmtId="3" fontId="58" fillId="0" borderId="0" xfId="0" applyNumberFormat="1" applyFont="1" applyAlignment="1">
      <alignment vertical="center"/>
    </xf>
    <xf numFmtId="3" fontId="56" fillId="0" borderId="0" xfId="0" applyNumberFormat="1" applyFont="1" applyAlignment="1">
      <alignment vertical="center"/>
    </xf>
    <xf numFmtId="3" fontId="58" fillId="0" borderId="18" xfId="0" applyNumberFormat="1" applyFont="1" applyBorder="1" applyAlignment="1">
      <alignment vertical="center" wrapText="1"/>
    </xf>
    <xf numFmtId="2" fontId="56" fillId="0" borderId="18" xfId="0" applyNumberFormat="1" applyFont="1" applyFill="1" applyBorder="1" applyAlignment="1">
      <alignment vertical="center"/>
    </xf>
    <xf numFmtId="0" fontId="56" fillId="0" borderId="18" xfId="0" applyFont="1" applyBorder="1" applyAlignment="1">
      <alignment horizontal="center" vertical="center"/>
    </xf>
    <xf numFmtId="4" fontId="56" fillId="0" borderId="18" xfId="0" applyNumberFormat="1" applyFont="1" applyBorder="1" applyAlignment="1">
      <alignment vertical="center"/>
    </xf>
    <xf numFmtId="4" fontId="57" fillId="3" borderId="0" xfId="447" applyNumberFormat="1" applyFont="1" applyFill="1"/>
    <xf numFmtId="9" fontId="57" fillId="0" borderId="0" xfId="1216" applyFont="1" applyFill="1"/>
    <xf numFmtId="175" fontId="52" fillId="0" borderId="0" xfId="1216" applyNumberFormat="1" applyFont="1"/>
    <xf numFmtId="4" fontId="53" fillId="0" borderId="18" xfId="447" applyNumberFormat="1" applyFont="1" applyFill="1" applyBorder="1" applyAlignment="1">
      <alignment vertical="center"/>
    </xf>
    <xf numFmtId="4" fontId="53" fillId="3" borderId="18" xfId="447" applyNumberFormat="1" applyFont="1" applyFill="1" applyBorder="1" applyAlignment="1">
      <alignment vertical="center"/>
    </xf>
    <xf numFmtId="9" fontId="57" fillId="0" borderId="18" xfId="1216" applyFont="1" applyFill="1" applyBorder="1"/>
    <xf numFmtId="175" fontId="53" fillId="0" borderId="18" xfId="1216" applyNumberFormat="1" applyFont="1" applyFill="1" applyBorder="1" applyAlignment="1">
      <alignment vertical="center"/>
    </xf>
    <xf numFmtId="4" fontId="57" fillId="0" borderId="18" xfId="447" applyNumberFormat="1" applyFont="1" applyFill="1" applyBorder="1" applyAlignment="1">
      <alignment vertical="center"/>
    </xf>
    <xf numFmtId="4" fontId="57" fillId="3" borderId="18" xfId="447" applyNumberFormat="1" applyFont="1" applyFill="1" applyBorder="1" applyAlignment="1">
      <alignment vertical="center"/>
    </xf>
    <xf numFmtId="0" fontId="57" fillId="0" borderId="18" xfId="447" applyFont="1" applyFill="1" applyBorder="1" applyAlignment="1">
      <alignment vertical="top" wrapText="1"/>
    </xf>
    <xf numFmtId="171" fontId="57" fillId="0" borderId="18" xfId="447" applyNumberFormat="1" applyFont="1" applyFill="1" applyBorder="1" applyAlignment="1">
      <alignment vertical="center"/>
    </xf>
    <xf numFmtId="0" fontId="53" fillId="0" borderId="18" xfId="1" applyFont="1" applyFill="1" applyBorder="1" applyAlignment="1">
      <alignment horizontal="left" vertical="center" wrapText="1"/>
    </xf>
    <xf numFmtId="0" fontId="53" fillId="0" borderId="18" xfId="1" applyFont="1" applyFill="1" applyBorder="1" applyAlignment="1">
      <alignment horizontal="center" vertical="center" wrapText="1"/>
    </xf>
    <xf numFmtId="0" fontId="57" fillId="0" borderId="18" xfId="1" applyFont="1" applyFill="1" applyBorder="1" applyAlignment="1">
      <alignment horizontal="left" vertical="center" wrapText="1"/>
    </xf>
    <xf numFmtId="4" fontId="51" fillId="0" borderId="18" xfId="447" applyNumberFormat="1" applyFont="1" applyFill="1" applyBorder="1" applyAlignment="1">
      <alignment vertical="center"/>
    </xf>
    <xf numFmtId="4" fontId="51" fillId="0" borderId="18" xfId="447" applyNumberFormat="1" applyFont="1" applyFill="1" applyBorder="1" applyAlignment="1">
      <alignment horizontal="right" vertical="center"/>
    </xf>
    <xf numFmtId="4" fontId="51" fillId="3" borderId="18" xfId="447" applyNumberFormat="1" applyFont="1" applyFill="1" applyBorder="1" applyAlignment="1">
      <alignment horizontal="right" vertical="center"/>
    </xf>
    <xf numFmtId="171" fontId="53" fillId="0" borderId="18" xfId="447" applyNumberFormat="1" applyFont="1" applyFill="1" applyBorder="1" applyAlignment="1">
      <alignment vertical="center"/>
    </xf>
    <xf numFmtId="9" fontId="53" fillId="0" borderId="18" xfId="1216" applyFont="1" applyFill="1" applyBorder="1" applyAlignment="1">
      <alignment horizontal="right" vertical="center"/>
    </xf>
    <xf numFmtId="175" fontId="53" fillId="0" borderId="18" xfId="1216" applyNumberFormat="1" applyFont="1" applyFill="1" applyBorder="1" applyAlignment="1">
      <alignment horizontal="right" vertical="center"/>
    </xf>
    <xf numFmtId="9" fontId="53" fillId="0" borderId="18" xfId="1216" applyFont="1" applyFill="1" applyBorder="1" applyAlignment="1">
      <alignment horizontal="right"/>
    </xf>
    <xf numFmtId="175" fontId="53" fillId="0" borderId="18" xfId="1216" applyNumberFormat="1" applyFont="1" applyFill="1" applyBorder="1" applyAlignment="1">
      <alignment horizontal="right"/>
    </xf>
    <xf numFmtId="3" fontId="53" fillId="0" borderId="18" xfId="447" applyNumberFormat="1" applyFont="1" applyFill="1" applyBorder="1" applyAlignment="1">
      <alignment vertical="center"/>
    </xf>
    <xf numFmtId="9" fontId="53" fillId="0" borderId="18" xfId="857" applyFont="1" applyFill="1" applyBorder="1" applyAlignment="1">
      <alignment vertical="center"/>
    </xf>
    <xf numFmtId="49" fontId="53" fillId="0" borderId="18" xfId="857" applyNumberFormat="1" applyFont="1" applyFill="1" applyBorder="1" applyAlignment="1">
      <alignment horizontal="center" vertical="center"/>
    </xf>
    <xf numFmtId="49" fontId="53" fillId="0" borderId="18" xfId="857" applyNumberFormat="1" applyFont="1" applyFill="1" applyBorder="1" applyAlignment="1">
      <alignment horizontal="right" vertical="center"/>
    </xf>
    <xf numFmtId="4" fontId="53" fillId="3" borderId="18" xfId="857" applyNumberFormat="1" applyFont="1" applyFill="1" applyBorder="1" applyAlignment="1">
      <alignment horizontal="right" vertical="center"/>
    </xf>
    <xf numFmtId="9" fontId="53" fillId="0" borderId="18" xfId="857" applyFont="1" applyFill="1" applyBorder="1" applyAlignment="1">
      <alignment horizontal="right" vertical="center"/>
    </xf>
    <xf numFmtId="9" fontId="57" fillId="0" borderId="18" xfId="1216" applyFont="1" applyFill="1" applyBorder="1" applyAlignment="1">
      <alignment horizontal="right"/>
    </xf>
    <xf numFmtId="175" fontId="52" fillId="0" borderId="18" xfId="1216" applyNumberFormat="1" applyFont="1" applyFill="1" applyBorder="1" applyAlignment="1">
      <alignment horizontal="right"/>
    </xf>
    <xf numFmtId="172" fontId="53" fillId="0" borderId="18" xfId="447" applyNumberFormat="1" applyFont="1" applyFill="1" applyBorder="1" applyAlignment="1">
      <alignment vertical="center"/>
    </xf>
    <xf numFmtId="172" fontId="53" fillId="0" borderId="18" xfId="447" applyNumberFormat="1" applyFont="1" applyFill="1" applyBorder="1" applyAlignment="1">
      <alignment horizontal="right" vertical="center"/>
    </xf>
    <xf numFmtId="0" fontId="53" fillId="0" borderId="18" xfId="447" applyFont="1" applyFill="1" applyBorder="1" applyAlignment="1">
      <alignment vertical="top" wrapText="1"/>
    </xf>
    <xf numFmtId="166" fontId="53" fillId="0" borderId="18" xfId="447" applyNumberFormat="1" applyFont="1" applyFill="1" applyBorder="1" applyAlignment="1">
      <alignment vertical="center"/>
    </xf>
    <xf numFmtId="166" fontId="53" fillId="0" borderId="18" xfId="447" applyNumberFormat="1" applyFont="1" applyFill="1" applyBorder="1" applyAlignment="1">
      <alignment horizontal="center" vertical="center"/>
    </xf>
    <xf numFmtId="166" fontId="53" fillId="0" borderId="18" xfId="447" applyNumberFormat="1" applyFont="1" applyFill="1" applyBorder="1" applyAlignment="1">
      <alignment horizontal="right" vertical="center"/>
    </xf>
    <xf numFmtId="0" fontId="57" fillId="0" borderId="18" xfId="447" applyFont="1" applyFill="1" applyBorder="1" applyAlignment="1">
      <alignment horizontal="right"/>
    </xf>
    <xf numFmtId="4" fontId="57" fillId="3" borderId="18" xfId="447" applyNumberFormat="1" applyFont="1" applyFill="1" applyBorder="1" applyAlignment="1">
      <alignment horizontal="right"/>
    </xf>
    <xf numFmtId="3" fontId="53" fillId="0" borderId="18" xfId="447" applyNumberFormat="1" applyFont="1" applyFill="1" applyBorder="1"/>
    <xf numFmtId="3" fontId="53" fillId="0" borderId="18" xfId="447" applyNumberFormat="1" applyFont="1" applyFill="1" applyBorder="1" applyAlignment="1">
      <alignment horizontal="right"/>
    </xf>
    <xf numFmtId="4" fontId="53" fillId="3" borderId="18" xfId="447" applyNumberFormat="1" applyFont="1" applyFill="1" applyBorder="1" applyAlignment="1">
      <alignment horizontal="right"/>
    </xf>
    <xf numFmtId="175" fontId="57" fillId="0" borderId="18" xfId="1216" applyNumberFormat="1" applyFont="1" applyFill="1" applyBorder="1" applyAlignment="1">
      <alignment horizontal="right"/>
    </xf>
    <xf numFmtId="3" fontId="57" fillId="0" borderId="18" xfId="447" applyNumberFormat="1" applyFont="1" applyFill="1" applyBorder="1"/>
    <xf numFmtId="9" fontId="57" fillId="0" borderId="18" xfId="857" applyFont="1" applyFill="1" applyBorder="1"/>
    <xf numFmtId="3" fontId="57" fillId="0" borderId="18" xfId="447" applyNumberFormat="1" applyFont="1" applyFill="1" applyBorder="1" applyAlignment="1">
      <alignment horizontal="right"/>
    </xf>
    <xf numFmtId="9" fontId="57" fillId="0" borderId="18" xfId="857" applyFont="1" applyFill="1" applyBorder="1" applyAlignment="1">
      <alignment horizontal="right"/>
    </xf>
    <xf numFmtId="166" fontId="53" fillId="0" borderId="0" xfId="447" applyNumberFormat="1" applyFont="1" applyFill="1" applyBorder="1" applyAlignment="1">
      <alignment vertical="center"/>
    </xf>
    <xf numFmtId="4" fontId="57" fillId="3" borderId="0" xfId="447" applyNumberFormat="1" applyFont="1" applyFill="1" applyBorder="1"/>
    <xf numFmtId="9" fontId="57" fillId="0" borderId="0" xfId="1216" applyFont="1" applyFill="1" applyBorder="1"/>
    <xf numFmtId="175" fontId="57" fillId="0" borderId="0" xfId="1216" applyNumberFormat="1" applyFont="1" applyBorder="1"/>
    <xf numFmtId="0" fontId="57" fillId="0" borderId="0" xfId="447" applyFont="1" applyFill="1" applyBorder="1" applyAlignment="1">
      <alignment horizontal="left"/>
    </xf>
    <xf numFmtId="9" fontId="58" fillId="0" borderId="0" xfId="1216" applyFont="1" applyFill="1" applyAlignment="1">
      <alignment vertical="center"/>
    </xf>
    <xf numFmtId="175" fontId="58" fillId="0" borderId="0" xfId="1216" applyNumberFormat="1" applyFont="1" applyAlignment="1">
      <alignment vertical="center"/>
    </xf>
    <xf numFmtId="0" fontId="56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 wrapText="1"/>
    </xf>
    <xf numFmtId="171" fontId="53" fillId="0" borderId="0" xfId="2" applyNumberFormat="1" applyFont="1" applyFill="1" applyBorder="1" applyAlignment="1">
      <alignment horizontal="right" vertical="center" wrapText="1"/>
    </xf>
    <xf numFmtId="0" fontId="56" fillId="0" borderId="0" xfId="0" applyFont="1" applyFill="1" applyBorder="1" applyAlignment="1">
      <alignment vertical="center" wrapText="1"/>
    </xf>
    <xf numFmtId="49" fontId="53" fillId="0" borderId="0" xfId="447" applyNumberFormat="1" applyFont="1" applyFill="1" applyAlignment="1">
      <alignment horizontal="left" vertical="center" wrapText="1"/>
    </xf>
    <xf numFmtId="9" fontId="53" fillId="0" borderId="0" xfId="1216" applyFont="1" applyFill="1" applyAlignment="1">
      <alignment horizontal="left" vertical="center"/>
    </xf>
    <xf numFmtId="49" fontId="57" fillId="0" borderId="0" xfId="447" applyNumberFormat="1" applyFont="1" applyFill="1" applyBorder="1" applyAlignment="1">
      <alignment horizontal="left" indent="6"/>
    </xf>
    <xf numFmtId="0" fontId="57" fillId="0" borderId="0" xfId="447" applyFont="1" applyFill="1" applyAlignment="1">
      <alignment horizontal="left" indent="6"/>
    </xf>
    <xf numFmtId="49" fontId="53" fillId="0" borderId="0" xfId="447" applyNumberFormat="1" applyFont="1" applyFill="1" applyBorder="1" applyAlignment="1">
      <alignment horizontal="left" wrapText="1"/>
    </xf>
    <xf numFmtId="9" fontId="53" fillId="0" borderId="0" xfId="1216" applyFont="1" applyFill="1" applyBorder="1" applyAlignment="1">
      <alignment horizontal="left" wrapText="1"/>
    </xf>
    <xf numFmtId="0" fontId="56" fillId="0" borderId="0" xfId="0" applyFont="1" applyFill="1" applyAlignment="1">
      <alignment horizontal="center" vertical="center" wrapText="1"/>
    </xf>
    <xf numFmtId="171" fontId="56" fillId="0" borderId="0" xfId="0" applyNumberFormat="1" applyFont="1" applyFill="1" applyAlignment="1">
      <alignment horizontal="center" vertical="center" wrapText="1"/>
    </xf>
    <xf numFmtId="171" fontId="58" fillId="0" borderId="18" xfId="0" applyNumberFormat="1" applyFont="1" applyFill="1" applyBorder="1" applyAlignment="1">
      <alignment vertical="center"/>
    </xf>
    <xf numFmtId="0" fontId="58" fillId="33" borderId="18" xfId="0" applyFont="1" applyFill="1" applyBorder="1" applyAlignment="1">
      <alignment vertical="center"/>
    </xf>
    <xf numFmtId="4" fontId="58" fillId="33" borderId="18" xfId="0" applyNumberFormat="1" applyFont="1" applyFill="1" applyBorder="1" applyAlignment="1">
      <alignment vertical="center"/>
    </xf>
    <xf numFmtId="4" fontId="56" fillId="0" borderId="18" xfId="0" applyNumberFormat="1" applyFont="1" applyFill="1" applyBorder="1" applyAlignment="1">
      <alignment vertical="center"/>
    </xf>
    <xf numFmtId="0" fontId="56" fillId="32" borderId="18" xfId="0" applyFont="1" applyFill="1" applyBorder="1" applyAlignment="1">
      <alignment vertical="center"/>
    </xf>
    <xf numFmtId="4" fontId="56" fillId="32" borderId="18" xfId="0" applyNumberFormat="1" applyFont="1" applyFill="1" applyBorder="1" applyAlignment="1">
      <alignment vertical="center"/>
    </xf>
    <xf numFmtId="3" fontId="52" fillId="0" borderId="0" xfId="0" applyNumberFormat="1" applyFont="1" applyFill="1"/>
    <xf numFmtId="0" fontId="51" fillId="0" borderId="18" xfId="0" applyFont="1" applyFill="1" applyBorder="1" applyAlignment="1">
      <alignment horizontal="center" vertical="center" wrapText="1"/>
    </xf>
    <xf numFmtId="3" fontId="52" fillId="0" borderId="18" xfId="0" applyNumberFormat="1" applyFont="1" applyFill="1" applyBorder="1" applyAlignment="1">
      <alignment horizontal="right" vertical="center"/>
    </xf>
    <xf numFmtId="171" fontId="52" fillId="0" borderId="18" xfId="0" applyNumberFormat="1" applyFont="1" applyFill="1" applyBorder="1"/>
    <xf numFmtId="3" fontId="52" fillId="0" borderId="18" xfId="0" applyNumberFormat="1" applyFont="1" applyFill="1" applyBorder="1"/>
    <xf numFmtId="0" fontId="52" fillId="0" borderId="0" xfId="0" applyFont="1"/>
    <xf numFmtId="3" fontId="57" fillId="0" borderId="0" xfId="447" applyNumberFormat="1" applyFont="1"/>
    <xf numFmtId="4" fontId="57" fillId="0" borderId="0" xfId="447" applyNumberFormat="1" applyFont="1"/>
    <xf numFmtId="0" fontId="53" fillId="3" borderId="18" xfId="447" applyFont="1" applyFill="1" applyBorder="1" applyAlignment="1">
      <alignment horizontal="center" vertical="center" wrapText="1"/>
    </xf>
    <xf numFmtId="3" fontId="57" fillId="0" borderId="18" xfId="447" applyNumberFormat="1" applyFont="1" applyBorder="1"/>
    <xf numFmtId="0" fontId="53" fillId="3" borderId="18" xfId="447" applyFont="1" applyFill="1" applyBorder="1" applyAlignment="1">
      <alignment horizontal="center" vertical="center"/>
    </xf>
    <xf numFmtId="0" fontId="53" fillId="3" borderId="18" xfId="447" applyFont="1" applyFill="1" applyBorder="1" applyAlignment="1">
      <alignment wrapText="1"/>
    </xf>
    <xf numFmtId="49" fontId="57" fillId="3" borderId="18" xfId="447" applyNumberFormat="1" applyFont="1" applyFill="1" applyBorder="1" applyAlignment="1">
      <alignment horizontal="center" vertical="center"/>
    </xf>
    <xf numFmtId="0" fontId="57" fillId="3" borderId="18" xfId="447" applyFont="1" applyFill="1" applyBorder="1" applyAlignment="1">
      <alignment wrapText="1"/>
    </xf>
    <xf numFmtId="0" fontId="57" fillId="3" borderId="18" xfId="447" applyFont="1" applyFill="1" applyBorder="1" applyAlignment="1">
      <alignment horizontal="center" vertical="center" wrapText="1"/>
    </xf>
    <xf numFmtId="2" fontId="53" fillId="0" borderId="18" xfId="447" applyNumberFormat="1" applyFont="1" applyBorder="1"/>
    <xf numFmtId="0" fontId="52" fillId="0" borderId="18" xfId="0" applyFont="1" applyBorder="1"/>
    <xf numFmtId="0" fontId="57" fillId="3" borderId="18" xfId="447" applyFont="1" applyFill="1" applyBorder="1"/>
    <xf numFmtId="0" fontId="57" fillId="3" borderId="18" xfId="447" applyFont="1" applyFill="1" applyBorder="1" applyAlignment="1">
      <alignment vertical="center" wrapText="1"/>
    </xf>
    <xf numFmtId="4" fontId="53" fillId="3" borderId="18" xfId="447" applyNumberFormat="1" applyFont="1" applyFill="1" applyBorder="1"/>
    <xf numFmtId="4" fontId="57" fillId="0" borderId="18" xfId="447" applyNumberFormat="1" applyFont="1" applyBorder="1" applyAlignment="1">
      <alignment vertical="center"/>
    </xf>
    <xf numFmtId="0" fontId="52" fillId="3" borderId="18" xfId="447" applyFont="1" applyFill="1" applyBorder="1" applyAlignment="1">
      <alignment vertical="center" wrapText="1"/>
    </xf>
    <xf numFmtId="0" fontId="53" fillId="0" borderId="18" xfId="447" applyFont="1" applyBorder="1"/>
    <xf numFmtId="4" fontId="53" fillId="0" borderId="18" xfId="447" applyNumberFormat="1" applyFont="1" applyBorder="1"/>
    <xf numFmtId="0" fontId="53" fillId="3" borderId="18" xfId="447" applyFont="1" applyFill="1" applyBorder="1" applyAlignment="1">
      <alignment vertical="center" wrapText="1"/>
    </xf>
    <xf numFmtId="4" fontId="53" fillId="0" borderId="18" xfId="447" applyNumberFormat="1" applyFont="1" applyBorder="1" applyAlignment="1">
      <alignment vertical="center"/>
    </xf>
    <xf numFmtId="0" fontId="52" fillId="3" borderId="18" xfId="447" applyFont="1" applyFill="1" applyBorder="1" applyAlignment="1">
      <alignment horizontal="center" vertical="center" wrapText="1"/>
    </xf>
    <xf numFmtId="4" fontId="52" fillId="3" borderId="18" xfId="447" applyNumberFormat="1" applyFont="1" applyFill="1" applyBorder="1" applyAlignment="1">
      <alignment vertical="center"/>
    </xf>
    <xf numFmtId="0" fontId="52" fillId="3" borderId="18" xfId="0" applyFont="1" applyFill="1" applyBorder="1"/>
    <xf numFmtId="0" fontId="59" fillId="3" borderId="18" xfId="447" applyFont="1" applyFill="1" applyBorder="1" applyAlignment="1">
      <alignment horizontal="center" vertical="center"/>
    </xf>
    <xf numFmtId="0" fontId="53" fillId="3" borderId="18" xfId="1" applyFont="1" applyFill="1" applyBorder="1" applyAlignment="1">
      <alignment horizontal="center" vertical="center" wrapText="1"/>
    </xf>
    <xf numFmtId="0" fontId="57" fillId="3" borderId="18" xfId="1" applyFont="1" applyFill="1" applyBorder="1" applyAlignment="1">
      <alignment horizontal="left" vertical="center" wrapText="1"/>
    </xf>
    <xf numFmtId="0" fontId="57" fillId="3" borderId="18" xfId="1" applyFont="1" applyFill="1" applyBorder="1" applyAlignment="1">
      <alignment horizontal="center" vertical="center" wrapText="1"/>
    </xf>
    <xf numFmtId="49" fontId="53" fillId="3" borderId="18" xfId="447" applyNumberFormat="1" applyFont="1" applyFill="1" applyBorder="1" applyAlignment="1">
      <alignment horizontal="center" vertical="center"/>
    </xf>
    <xf numFmtId="49" fontId="53" fillId="3" borderId="18" xfId="447" applyNumberFormat="1" applyFont="1" applyFill="1" applyBorder="1" applyAlignment="1">
      <alignment vertical="center" wrapText="1"/>
    </xf>
    <xf numFmtId="4" fontId="51" fillId="3" borderId="18" xfId="447" applyNumberFormat="1" applyFont="1" applyFill="1" applyBorder="1" applyAlignment="1">
      <alignment vertical="center"/>
    </xf>
    <xf numFmtId="4" fontId="52" fillId="0" borderId="18" xfId="0" applyNumberFormat="1" applyFont="1" applyBorder="1"/>
    <xf numFmtId="2" fontId="57" fillId="0" borderId="18" xfId="447" applyNumberFormat="1" applyFont="1" applyFill="1" applyBorder="1"/>
    <xf numFmtId="1" fontId="57" fillId="0" borderId="18" xfId="447" applyNumberFormat="1" applyFont="1" applyFill="1" applyBorder="1"/>
    <xf numFmtId="3" fontId="53" fillId="0" borderId="18" xfId="447" applyNumberFormat="1" applyFont="1" applyBorder="1"/>
    <xf numFmtId="0" fontId="53" fillId="3" borderId="18" xfId="447" applyFont="1" applyFill="1" applyBorder="1" applyAlignment="1">
      <alignment horizontal="left" vertical="center" wrapText="1"/>
    </xf>
    <xf numFmtId="3" fontId="53" fillId="3" borderId="18" xfId="447" applyNumberFormat="1" applyFont="1" applyFill="1" applyBorder="1" applyAlignment="1">
      <alignment vertical="center"/>
    </xf>
    <xf numFmtId="171" fontId="53" fillId="3" borderId="18" xfId="447" applyNumberFormat="1" applyFont="1" applyFill="1" applyBorder="1" applyAlignment="1">
      <alignment vertical="center"/>
    </xf>
    <xf numFmtId="4" fontId="53" fillId="0" borderId="18" xfId="447" applyNumberFormat="1" applyFont="1" applyFill="1" applyBorder="1"/>
    <xf numFmtId="172" fontId="53" fillId="3" borderId="18" xfId="447" applyNumberFormat="1" applyFont="1" applyFill="1" applyBorder="1" applyAlignment="1">
      <alignment vertical="center"/>
    </xf>
    <xf numFmtId="1" fontId="53" fillId="3" borderId="18" xfId="447" applyNumberFormat="1" applyFont="1" applyFill="1" applyBorder="1" applyAlignment="1">
      <alignment vertical="center"/>
    </xf>
    <xf numFmtId="1" fontId="53" fillId="3" borderId="18" xfId="447" applyNumberFormat="1" applyFont="1" applyFill="1" applyBorder="1" applyAlignment="1">
      <alignment horizontal="center" vertical="center"/>
    </xf>
    <xf numFmtId="172" fontId="53" fillId="0" borderId="18" xfId="447" applyNumberFormat="1" applyFont="1" applyFill="1" applyBorder="1" applyAlignment="1">
      <alignment horizontal="center"/>
    </xf>
    <xf numFmtId="3" fontId="53" fillId="3" borderId="18" xfId="447" applyNumberFormat="1" applyFont="1" applyFill="1" applyBorder="1" applyAlignment="1">
      <alignment horizontal="right"/>
    </xf>
    <xf numFmtId="0" fontId="53" fillId="3" borderId="18" xfId="447" applyFont="1" applyFill="1" applyBorder="1" applyAlignment="1">
      <alignment vertical="top" wrapText="1"/>
    </xf>
    <xf numFmtId="166" fontId="53" fillId="3" borderId="18" xfId="447" applyNumberFormat="1" applyFont="1" applyFill="1" applyBorder="1" applyAlignment="1">
      <alignment horizontal="center" vertical="center"/>
    </xf>
    <xf numFmtId="2" fontId="53" fillId="3" borderId="18" xfId="447" applyNumberFormat="1" applyFont="1" applyFill="1" applyBorder="1" applyAlignment="1">
      <alignment horizontal="center" vertical="center"/>
    </xf>
    <xf numFmtId="171" fontId="53" fillId="3" borderId="18" xfId="447" applyNumberFormat="1" applyFont="1" applyFill="1" applyBorder="1" applyAlignment="1">
      <alignment horizontal="right"/>
    </xf>
    <xf numFmtId="0" fontId="53" fillId="3" borderId="18" xfId="447" applyFont="1" applyFill="1" applyBorder="1" applyAlignment="1"/>
    <xf numFmtId="2" fontId="57" fillId="3" borderId="18" xfId="447" applyNumberFormat="1" applyFont="1" applyFill="1" applyBorder="1"/>
    <xf numFmtId="3" fontId="53" fillId="3" borderId="18" xfId="447" applyNumberFormat="1" applyFont="1" applyFill="1" applyBorder="1"/>
    <xf numFmtId="1" fontId="53" fillId="3" borderId="18" xfId="447" applyNumberFormat="1" applyFont="1" applyFill="1" applyBorder="1"/>
    <xf numFmtId="49" fontId="57" fillId="3" borderId="18" xfId="447" applyNumberFormat="1" applyFont="1" applyFill="1" applyBorder="1" applyAlignment="1">
      <alignment horizontal="center"/>
    </xf>
    <xf numFmtId="0" fontId="57" fillId="3" borderId="18" xfId="447" applyFont="1" applyFill="1" applyBorder="1" applyAlignment="1"/>
    <xf numFmtId="0" fontId="57" fillId="3" borderId="18" xfId="447" applyFont="1" applyFill="1" applyBorder="1" applyAlignment="1">
      <alignment horizontal="center" vertical="center"/>
    </xf>
    <xf numFmtId="3" fontId="57" fillId="3" borderId="18" xfId="447" applyNumberFormat="1" applyFont="1" applyFill="1" applyBorder="1"/>
    <xf numFmtId="1" fontId="57" fillId="3" borderId="18" xfId="447" applyNumberFormat="1" applyFont="1" applyFill="1" applyBorder="1"/>
    <xf numFmtId="49" fontId="53" fillId="3" borderId="18" xfId="447" applyNumberFormat="1" applyFont="1" applyFill="1" applyBorder="1" applyAlignment="1">
      <alignment horizontal="center"/>
    </xf>
    <xf numFmtId="49" fontId="57" fillId="3" borderId="0" xfId="447" applyNumberFormat="1" applyFont="1" applyFill="1" applyBorder="1" applyAlignment="1">
      <alignment horizontal="center"/>
    </xf>
    <xf numFmtId="0" fontId="57" fillId="3" borderId="0" xfId="447" applyFont="1" applyFill="1" applyBorder="1" applyAlignment="1"/>
    <xf numFmtId="0" fontId="57" fillId="3" borderId="0" xfId="447" applyFont="1" applyFill="1" applyBorder="1" applyAlignment="1">
      <alignment horizontal="center" vertical="center"/>
    </xf>
    <xf numFmtId="3" fontId="57" fillId="3" borderId="0" xfId="447" applyNumberFormat="1" applyFont="1" applyFill="1" applyBorder="1"/>
    <xf numFmtId="3" fontId="57" fillId="0" borderId="0" xfId="447" applyNumberFormat="1" applyFont="1" applyBorder="1"/>
    <xf numFmtId="4" fontId="57" fillId="0" borderId="0" xfId="447" applyNumberFormat="1" applyFont="1" applyBorder="1"/>
    <xf numFmtId="4" fontId="53" fillId="3" borderId="0" xfId="447" applyNumberFormat="1" applyFont="1" applyFill="1" applyBorder="1" applyAlignment="1">
      <alignment vertical="center"/>
    </xf>
    <xf numFmtId="0" fontId="56" fillId="0" borderId="0" xfId="0" applyFont="1" applyAlignment="1">
      <alignment horizontal="left" vertical="center"/>
    </xf>
    <xf numFmtId="3" fontId="57" fillId="0" borderId="0" xfId="447" applyNumberFormat="1" applyFont="1" applyFill="1"/>
    <xf numFmtId="4" fontId="57" fillId="0" borderId="0" xfId="447" applyNumberFormat="1" applyFont="1" applyFill="1"/>
    <xf numFmtId="3" fontId="57" fillId="0" borderId="18" xfId="447" applyNumberFormat="1" applyFont="1" applyBorder="1" applyAlignment="1"/>
    <xf numFmtId="3" fontId="53" fillId="0" borderId="18" xfId="447" applyNumberFormat="1" applyFont="1" applyBorder="1" applyAlignment="1"/>
    <xf numFmtId="4" fontId="53" fillId="0" borderId="18" xfId="447" applyNumberFormat="1" applyFont="1" applyBorder="1" applyAlignment="1">
      <alignment vertical="top"/>
    </xf>
    <xf numFmtId="0" fontId="53" fillId="30" borderId="18" xfId="447" applyFont="1" applyFill="1" applyBorder="1"/>
    <xf numFmtId="3" fontId="53" fillId="30" borderId="18" xfId="447" applyNumberFormat="1" applyFont="1" applyFill="1" applyBorder="1" applyAlignment="1"/>
    <xf numFmtId="4" fontId="53" fillId="30" borderId="18" xfId="447" applyNumberFormat="1" applyFont="1" applyFill="1" applyBorder="1" applyAlignment="1">
      <alignment vertical="top"/>
    </xf>
    <xf numFmtId="0" fontId="53" fillId="35" borderId="18" xfId="447" applyFont="1" applyFill="1" applyBorder="1"/>
    <xf numFmtId="3" fontId="53" fillId="35" borderId="18" xfId="447" applyNumberFormat="1" applyFont="1" applyFill="1" applyBorder="1" applyAlignment="1"/>
    <xf numFmtId="4" fontId="53" fillId="35" borderId="18" xfId="447" applyNumberFormat="1" applyFont="1" applyFill="1" applyBorder="1" applyAlignment="1">
      <alignment vertical="top"/>
    </xf>
    <xf numFmtId="4" fontId="57" fillId="0" borderId="18" xfId="447" applyNumberFormat="1" applyFont="1" applyBorder="1" applyAlignment="1">
      <alignment vertical="top"/>
    </xf>
    <xf numFmtId="3" fontId="57" fillId="34" borderId="18" xfId="447" applyNumberFormat="1" applyFont="1" applyFill="1" applyBorder="1" applyAlignment="1"/>
    <xf numFmtId="4" fontId="57" fillId="34" borderId="18" xfId="447" applyNumberFormat="1" applyFont="1" applyFill="1" applyBorder="1" applyAlignment="1">
      <alignment vertical="top"/>
    </xf>
    <xf numFmtId="4" fontId="57" fillId="0" borderId="18" xfId="447" applyNumberFormat="1" applyFont="1" applyBorder="1" applyAlignment="1"/>
    <xf numFmtId="3" fontId="57" fillId="0" borderId="0" xfId="447" applyNumberFormat="1" applyFont="1" applyBorder="1" applyAlignment="1"/>
    <xf numFmtId="4" fontId="57" fillId="0" borderId="0" xfId="447" applyNumberFormat="1" applyFont="1" applyBorder="1" applyAlignment="1"/>
    <xf numFmtId="3" fontId="53" fillId="0" borderId="0" xfId="447" applyNumberFormat="1" applyFont="1"/>
    <xf numFmtId="0" fontId="51" fillId="0" borderId="18" xfId="686" applyFont="1" applyFill="1" applyBorder="1" applyAlignment="1">
      <alignment horizontal="center" vertical="top" wrapText="1"/>
    </xf>
    <xf numFmtId="0" fontId="51" fillId="0" borderId="18" xfId="686" applyFont="1" applyFill="1" applyBorder="1" applyAlignment="1">
      <alignment horizontal="left" vertical="center" wrapText="1"/>
    </xf>
    <xf numFmtId="0" fontId="51" fillId="0" borderId="18" xfId="686" applyFont="1" applyFill="1" applyBorder="1" applyAlignment="1">
      <alignment horizontal="center" vertical="center" wrapText="1"/>
    </xf>
    <xf numFmtId="4" fontId="51" fillId="0" borderId="18" xfId="686" applyNumberFormat="1" applyFont="1" applyFill="1" applyBorder="1" applyAlignment="1">
      <alignment horizontal="right" vertical="center" wrapText="1"/>
    </xf>
    <xf numFmtId="4" fontId="51" fillId="3" borderId="18" xfId="686" applyNumberFormat="1" applyFont="1" applyFill="1" applyBorder="1" applyAlignment="1">
      <alignment horizontal="right" vertical="center" wrapText="1"/>
    </xf>
    <xf numFmtId="3" fontId="52" fillId="3" borderId="18" xfId="686" applyNumberFormat="1" applyFont="1" applyFill="1" applyBorder="1" applyAlignment="1">
      <alignment vertical="center"/>
    </xf>
    <xf numFmtId="0" fontId="51" fillId="0" borderId="18" xfId="686" applyNumberFormat="1" applyFont="1" applyFill="1" applyBorder="1" applyAlignment="1">
      <alignment horizontal="center" vertical="center" wrapText="1"/>
    </xf>
    <xf numFmtId="14" fontId="51" fillId="0" borderId="18" xfId="686" applyNumberFormat="1" applyFont="1" applyFill="1" applyBorder="1" applyAlignment="1">
      <alignment vertical="center" wrapText="1"/>
    </xf>
    <xf numFmtId="174" fontId="52" fillId="0" borderId="18" xfId="686" applyNumberFormat="1" applyFont="1" applyFill="1" applyBorder="1" applyAlignment="1">
      <alignment horizontal="center" vertical="center" wrapText="1"/>
    </xf>
    <xf numFmtId="0" fontId="52" fillId="0" borderId="18" xfId="686" applyFont="1" applyFill="1" applyBorder="1" applyAlignment="1">
      <alignment vertical="center" wrapText="1"/>
    </xf>
    <xf numFmtId="0" fontId="52" fillId="0" borderId="18" xfId="686" applyFont="1" applyFill="1" applyBorder="1" applyAlignment="1">
      <alignment horizontal="center" vertical="center" wrapText="1"/>
    </xf>
    <xf numFmtId="0" fontId="52" fillId="0" borderId="18" xfId="686" applyFont="1" applyFill="1" applyBorder="1" applyAlignment="1">
      <alignment horizontal="right" vertical="center" wrapText="1"/>
    </xf>
    <xf numFmtId="4" fontId="52" fillId="0" borderId="18" xfId="686" applyNumberFormat="1" applyFont="1" applyFill="1" applyBorder="1" applyAlignment="1">
      <alignment horizontal="right" vertical="center" wrapText="1"/>
    </xf>
    <xf numFmtId="4" fontId="52" fillId="0" borderId="18" xfId="686" applyNumberFormat="1" applyFont="1" applyFill="1" applyBorder="1" applyAlignment="1">
      <alignment vertical="center"/>
    </xf>
    <xf numFmtId="4" fontId="52" fillId="3" borderId="18" xfId="686" applyNumberFormat="1" applyFont="1" applyFill="1" applyBorder="1" applyAlignment="1">
      <alignment horizontal="right" vertical="center" wrapText="1"/>
    </xf>
    <xf numFmtId="4" fontId="52" fillId="3" borderId="18" xfId="686" applyNumberFormat="1" applyFont="1" applyFill="1" applyBorder="1" applyAlignment="1">
      <alignment vertical="center"/>
    </xf>
    <xf numFmtId="0" fontId="51" fillId="0" borderId="18" xfId="686" applyFont="1" applyFill="1" applyBorder="1" applyAlignment="1">
      <alignment vertical="center" wrapText="1"/>
    </xf>
    <xf numFmtId="4" fontId="51" fillId="0" borderId="18" xfId="686" applyNumberFormat="1" applyFont="1" applyFill="1" applyBorder="1" applyAlignment="1">
      <alignment vertical="center"/>
    </xf>
    <xf numFmtId="49" fontId="52" fillId="0" borderId="18" xfId="686" applyNumberFormat="1" applyFont="1" applyFill="1" applyBorder="1" applyAlignment="1">
      <alignment horizontal="center" vertical="center" wrapText="1"/>
    </xf>
    <xf numFmtId="0" fontId="52" fillId="0" borderId="0" xfId="686" applyFont="1" applyFill="1"/>
    <xf numFmtId="0" fontId="52" fillId="0" borderId="21" xfId="686" applyFont="1" applyFill="1" applyBorder="1"/>
    <xf numFmtId="49" fontId="51" fillId="0" borderId="18" xfId="686" applyNumberFormat="1" applyFont="1" applyFill="1" applyBorder="1" applyAlignment="1">
      <alignment horizontal="center" vertical="center" wrapText="1"/>
    </xf>
    <xf numFmtId="4" fontId="51" fillId="3" borderId="18" xfId="686" applyNumberFormat="1" applyFont="1" applyFill="1" applyBorder="1" applyAlignment="1">
      <alignment vertical="center"/>
    </xf>
    <xf numFmtId="4" fontId="57" fillId="0" borderId="18" xfId="686" applyNumberFormat="1" applyFont="1" applyFill="1" applyBorder="1" applyAlignment="1">
      <alignment vertical="center"/>
    </xf>
    <xf numFmtId="3" fontId="51" fillId="0" borderId="18" xfId="686" applyNumberFormat="1" applyFont="1" applyFill="1" applyBorder="1" applyAlignment="1">
      <alignment horizontal="right" vertical="center" wrapText="1"/>
    </xf>
    <xf numFmtId="4" fontId="58" fillId="3" borderId="18" xfId="0" applyNumberFormat="1" applyFont="1" applyFill="1" applyBorder="1" applyAlignment="1">
      <alignment vertical="center"/>
    </xf>
    <xf numFmtId="0" fontId="51" fillId="0" borderId="18" xfId="686" applyFont="1" applyFill="1" applyBorder="1" applyAlignment="1">
      <alignment horizontal="right" vertical="center" wrapText="1"/>
    </xf>
    <xf numFmtId="171" fontId="51" fillId="0" borderId="18" xfId="686" applyNumberFormat="1" applyFont="1" applyFill="1" applyBorder="1" applyAlignment="1">
      <alignment horizontal="right" vertical="center"/>
    </xf>
    <xf numFmtId="4" fontId="52" fillId="0" borderId="18" xfId="686" applyNumberFormat="1" applyFont="1" applyFill="1" applyBorder="1" applyAlignment="1">
      <alignment horizontal="right" vertical="center"/>
    </xf>
    <xf numFmtId="4" fontId="51" fillId="0" borderId="18" xfId="686" applyNumberFormat="1" applyFont="1" applyFill="1" applyBorder="1" applyAlignment="1">
      <alignment horizontal="right" vertical="center"/>
    </xf>
    <xf numFmtId="4" fontId="56" fillId="3" borderId="18" xfId="0" applyNumberFormat="1" applyFont="1" applyFill="1" applyBorder="1" applyAlignment="1">
      <alignment vertical="center"/>
    </xf>
    <xf numFmtId="3" fontId="52" fillId="0" borderId="18" xfId="686" applyNumberFormat="1" applyFont="1" applyFill="1" applyBorder="1" applyAlignment="1">
      <alignment horizontal="right" vertical="center" wrapText="1"/>
    </xf>
    <xf numFmtId="49" fontId="57" fillId="3" borderId="18" xfId="1" applyNumberFormat="1" applyFont="1" applyFill="1" applyBorder="1" applyAlignment="1">
      <alignment horizontal="center" vertical="top" wrapText="1"/>
    </xf>
    <xf numFmtId="0" fontId="57" fillId="3" borderId="18" xfId="447" applyFont="1" applyFill="1" applyBorder="1" applyAlignment="1">
      <alignment vertical="top" wrapText="1"/>
    </xf>
    <xf numFmtId="0" fontId="57" fillId="3" borderId="18" xfId="447" applyFont="1" applyFill="1" applyBorder="1" applyAlignment="1">
      <alignment horizontal="center" vertical="top" wrapText="1"/>
    </xf>
    <xf numFmtId="4" fontId="57" fillId="3" borderId="18" xfId="447" applyNumberFormat="1" applyFont="1" applyFill="1" applyBorder="1" applyAlignment="1">
      <alignment vertical="top"/>
    </xf>
    <xf numFmtId="0" fontId="57" fillId="0" borderId="18" xfId="447" applyFont="1" applyFill="1" applyBorder="1" applyAlignment="1">
      <alignment vertical="top"/>
    </xf>
    <xf numFmtId="3" fontId="57" fillId="0" borderId="18" xfId="447" applyNumberFormat="1" applyFont="1" applyBorder="1" applyAlignment="1">
      <alignment vertical="top"/>
    </xf>
    <xf numFmtId="49" fontId="57" fillId="0" borderId="18" xfId="447" applyNumberFormat="1" applyFont="1" applyBorder="1" applyAlignment="1">
      <alignment horizontal="center" vertical="top"/>
    </xf>
    <xf numFmtId="0" fontId="57" fillId="0" borderId="18" xfId="447" applyFont="1" applyBorder="1" applyAlignment="1">
      <alignment horizontal="center" vertical="top" wrapText="1"/>
    </xf>
    <xf numFmtId="4" fontId="57" fillId="0" borderId="18" xfId="447" applyNumberFormat="1" applyFont="1" applyBorder="1" applyAlignment="1">
      <alignment horizontal="right" vertical="top" wrapText="1"/>
    </xf>
    <xf numFmtId="4" fontId="57" fillId="0" borderId="18" xfId="447" applyNumberFormat="1" applyFont="1" applyFill="1" applyBorder="1" applyAlignment="1">
      <alignment horizontal="right" vertical="top" wrapText="1"/>
    </xf>
    <xf numFmtId="4" fontId="57" fillId="0" borderId="20" xfId="447" applyNumberFormat="1" applyFont="1" applyFill="1" applyBorder="1" applyAlignment="1">
      <alignment horizontal="right" vertical="top"/>
    </xf>
    <xf numFmtId="4" fontId="57" fillId="0" borderId="18" xfId="447" applyNumberFormat="1" applyFont="1" applyFill="1" applyBorder="1" applyAlignment="1">
      <alignment horizontal="right" vertical="top"/>
    </xf>
    <xf numFmtId="4" fontId="52" fillId="0" borderId="18" xfId="0" applyNumberFormat="1" applyFont="1" applyFill="1" applyBorder="1" applyAlignment="1">
      <alignment horizontal="right" vertical="top"/>
    </xf>
    <xf numFmtId="4" fontId="57" fillId="3" borderId="20" xfId="447" applyNumberFormat="1" applyFont="1" applyFill="1" applyBorder="1" applyAlignment="1">
      <alignment horizontal="right" vertical="top" wrapText="1"/>
    </xf>
    <xf numFmtId="4" fontId="52" fillId="0" borderId="18" xfId="0" applyNumberFormat="1" applyFont="1" applyFill="1" applyBorder="1" applyAlignment="1">
      <alignment vertical="top"/>
    </xf>
    <xf numFmtId="0" fontId="57" fillId="34" borderId="18" xfId="447" applyFont="1" applyFill="1" applyBorder="1" applyAlignment="1">
      <alignment horizontal="center" vertical="top" wrapText="1"/>
    </xf>
    <xf numFmtId="4" fontId="57" fillId="34" borderId="18" xfId="447" applyNumberFormat="1" applyFont="1" applyFill="1" applyBorder="1" applyAlignment="1">
      <alignment horizontal="right" vertical="top" wrapText="1"/>
    </xf>
    <xf numFmtId="0" fontId="52" fillId="0" borderId="18" xfId="447" applyFont="1" applyFill="1" applyBorder="1" applyAlignment="1">
      <alignment vertical="top" wrapText="1"/>
    </xf>
    <xf numFmtId="0" fontId="57" fillId="0" borderId="18" xfId="447" applyFont="1" applyFill="1" applyBorder="1" applyAlignment="1">
      <alignment horizontal="center" vertical="top" wrapText="1"/>
    </xf>
    <xf numFmtId="4" fontId="57" fillId="0" borderId="18" xfId="447" applyNumberFormat="1" applyFont="1" applyFill="1" applyBorder="1" applyAlignment="1">
      <alignment vertical="top"/>
    </xf>
    <xf numFmtId="4" fontId="57" fillId="3" borderId="18" xfId="447" applyNumberFormat="1" applyFont="1" applyFill="1" applyBorder="1" applyAlignment="1">
      <alignment horizontal="right" vertical="top"/>
    </xf>
    <xf numFmtId="9" fontId="57" fillId="0" borderId="18" xfId="1216" applyFont="1" applyFill="1" applyBorder="1" applyAlignment="1">
      <alignment vertical="top"/>
    </xf>
    <xf numFmtId="0" fontId="57" fillId="0" borderId="0" xfId="447" applyFont="1" applyAlignment="1">
      <alignment vertical="top"/>
    </xf>
    <xf numFmtId="49" fontId="53" fillId="0" borderId="18" xfId="447" applyNumberFormat="1" applyFont="1" applyFill="1" applyBorder="1" applyAlignment="1">
      <alignment horizontal="center" vertical="top"/>
    </xf>
    <xf numFmtId="4" fontId="53" fillId="0" borderId="18" xfId="447" applyNumberFormat="1" applyFont="1" applyFill="1" applyBorder="1" applyAlignment="1">
      <alignment vertical="top"/>
    </xf>
    <xf numFmtId="4" fontId="53" fillId="0" borderId="18" xfId="447" applyNumberFormat="1" applyFont="1" applyFill="1" applyBorder="1" applyAlignment="1">
      <alignment horizontal="right" vertical="top"/>
    </xf>
    <xf numFmtId="4" fontId="53" fillId="3" borderId="18" xfId="447" applyNumberFormat="1" applyFont="1" applyFill="1" applyBorder="1" applyAlignment="1">
      <alignment horizontal="right" vertical="top"/>
    </xf>
    <xf numFmtId="173" fontId="57" fillId="0" borderId="18" xfId="447" applyNumberFormat="1" applyFont="1" applyFill="1" applyBorder="1" applyAlignment="1">
      <alignment horizontal="left" vertical="top" wrapText="1"/>
    </xf>
    <xf numFmtId="2" fontId="57" fillId="0" borderId="18" xfId="2" applyNumberFormat="1" applyFont="1" applyFill="1" applyBorder="1" applyAlignment="1">
      <alignment horizontal="left" vertical="top" wrapText="1"/>
    </xf>
    <xf numFmtId="49" fontId="57" fillId="0" borderId="18" xfId="1" applyNumberFormat="1" applyFont="1" applyFill="1" applyBorder="1" applyAlignment="1">
      <alignment horizontal="center" vertical="top" wrapText="1"/>
    </xf>
    <xf numFmtId="0" fontId="57" fillId="0" borderId="18" xfId="1" applyFont="1" applyFill="1" applyBorder="1" applyAlignment="1">
      <alignment horizontal="left" vertical="top" wrapText="1"/>
    </xf>
    <xf numFmtId="0" fontId="57" fillId="0" borderId="18" xfId="1" applyFont="1" applyFill="1" applyBorder="1" applyAlignment="1">
      <alignment horizontal="center" vertical="top" wrapText="1"/>
    </xf>
    <xf numFmtId="171" fontId="57" fillId="0" borderId="18" xfId="447" applyNumberFormat="1" applyFont="1" applyFill="1" applyBorder="1" applyAlignment="1">
      <alignment vertical="top"/>
    </xf>
    <xf numFmtId="0" fontId="53" fillId="0" borderId="18" xfId="447" applyFont="1" applyFill="1" applyBorder="1" applyAlignment="1">
      <alignment horizontal="center" vertical="top"/>
    </xf>
    <xf numFmtId="4" fontId="53" fillId="3" borderId="18" xfId="447" applyNumberFormat="1" applyFont="1" applyFill="1" applyBorder="1" applyAlignment="1">
      <alignment vertical="top"/>
    </xf>
    <xf numFmtId="4" fontId="53" fillId="0" borderId="20" xfId="447" applyNumberFormat="1" applyFont="1" applyFill="1" applyBorder="1" applyAlignment="1">
      <alignment horizontal="right" vertical="top"/>
    </xf>
    <xf numFmtId="4" fontId="53" fillId="0" borderId="0" xfId="0" applyNumberFormat="1" applyFont="1" applyFill="1" applyAlignment="1">
      <alignment horizontal="left" vertical="center" wrapText="1"/>
    </xf>
    <xf numFmtId="0" fontId="53" fillId="0" borderId="0" xfId="447" applyFont="1" applyFill="1" applyAlignment="1">
      <alignment horizontal="center" vertical="center" wrapText="1"/>
    </xf>
    <xf numFmtId="14" fontId="52" fillId="0" borderId="18" xfId="686" applyNumberFormat="1" applyFont="1" applyFill="1" applyBorder="1" applyAlignment="1">
      <alignment vertical="center" wrapText="1"/>
    </xf>
    <xf numFmtId="0" fontId="52" fillId="0" borderId="18" xfId="0" applyFont="1" applyFill="1" applyBorder="1" applyAlignment="1">
      <alignment vertical="center"/>
    </xf>
    <xf numFmtId="0" fontId="53" fillId="0" borderId="0" xfId="447" applyFont="1" applyFill="1"/>
    <xf numFmtId="4" fontId="53" fillId="3" borderId="0" xfId="447" applyNumberFormat="1" applyFont="1" applyFill="1"/>
    <xf numFmtId="9" fontId="53" fillId="0" borderId="0" xfId="1216" applyFont="1" applyFill="1"/>
    <xf numFmtId="0" fontId="53" fillId="0" borderId="0" xfId="447" applyFont="1"/>
    <xf numFmtId="0" fontId="60" fillId="0" borderId="0" xfId="686" applyFont="1" applyFill="1" applyAlignment="1">
      <alignment horizontal="left"/>
    </xf>
    <xf numFmtId="4" fontId="53" fillId="0" borderId="0" xfId="0" applyNumberFormat="1" applyFont="1" applyFill="1" applyAlignment="1">
      <alignment horizontal="left" vertical="center" wrapText="1"/>
    </xf>
    <xf numFmtId="49" fontId="53" fillId="0" borderId="0" xfId="447" applyNumberFormat="1" applyFont="1" applyFill="1" applyAlignment="1">
      <alignment horizontal="left" vertical="center" wrapText="1"/>
    </xf>
    <xf numFmtId="0" fontId="57" fillId="0" borderId="0" xfId="447" applyFont="1" applyFill="1" applyBorder="1" applyAlignment="1">
      <alignment horizontal="left" indent="6"/>
    </xf>
    <xf numFmtId="0" fontId="58" fillId="0" borderId="0" xfId="0" applyFont="1" applyAlignment="1">
      <alignment horizontal="left" vertical="center"/>
    </xf>
    <xf numFmtId="0" fontId="58" fillId="3" borderId="0" xfId="0" applyFont="1" applyFill="1" applyAlignment="1">
      <alignment horizontal="left" vertical="center"/>
    </xf>
    <xf numFmtId="0" fontId="56" fillId="3" borderId="0" xfId="0" applyFont="1" applyFill="1" applyAlignment="1">
      <alignment horizontal="left" vertical="center"/>
    </xf>
    <xf numFmtId="0" fontId="53" fillId="0" borderId="0" xfId="447" applyFont="1" applyFill="1" applyBorder="1" applyAlignment="1"/>
    <xf numFmtId="0" fontId="53" fillId="0" borderId="0" xfId="447" applyFont="1" applyBorder="1" applyAlignment="1">
      <alignment horizontal="left"/>
    </xf>
    <xf numFmtId="0" fontId="53" fillId="0" borderId="0" xfId="447" applyFont="1" applyBorder="1"/>
    <xf numFmtId="0" fontId="53" fillId="0" borderId="0" xfId="447" applyFont="1" applyFill="1" applyBorder="1"/>
    <xf numFmtId="0" fontId="53" fillId="0" borderId="0" xfId="447" applyFont="1" applyFill="1" applyBorder="1" applyAlignment="1">
      <alignment horizontal="right"/>
    </xf>
    <xf numFmtId="0" fontId="53" fillId="3" borderId="0" xfId="447" applyFont="1" applyFill="1" applyBorder="1"/>
    <xf numFmtId="0" fontId="51" fillId="0" borderId="0" xfId="0" applyFont="1" applyFill="1"/>
    <xf numFmtId="4" fontId="53" fillId="0" borderId="0" xfId="1" applyNumberFormat="1" applyFont="1" applyAlignment="1">
      <alignment horizontal="center" vertical="center" wrapText="1"/>
    </xf>
    <xf numFmtId="4" fontId="53" fillId="0" borderId="0" xfId="0" applyNumberFormat="1" applyFont="1" applyFill="1" applyAlignment="1">
      <alignment horizontal="left" vertical="center" wrapText="1"/>
    </xf>
    <xf numFmtId="4" fontId="51" fillId="0" borderId="0" xfId="0" applyNumberFormat="1" applyFont="1" applyAlignment="1">
      <alignment horizontal="center" vertical="center" wrapText="1"/>
    </xf>
    <xf numFmtId="4" fontId="53" fillId="0" borderId="7" xfId="1" applyNumberFormat="1" applyFont="1" applyBorder="1" applyAlignment="1">
      <alignment horizontal="center" vertical="center" wrapText="1"/>
    </xf>
    <xf numFmtId="4" fontId="53" fillId="3" borderId="18" xfId="1" applyNumberFormat="1" applyFont="1" applyFill="1" applyBorder="1" applyAlignment="1">
      <alignment horizontal="center" vertical="center" wrapText="1"/>
    </xf>
    <xf numFmtId="4" fontId="53" fillId="0" borderId="18" xfId="1" applyNumberFormat="1" applyFont="1" applyFill="1" applyBorder="1" applyAlignment="1">
      <alignment horizontal="left" vertical="center" wrapText="1"/>
    </xf>
    <xf numFmtId="4" fontId="53" fillId="0" borderId="19" xfId="1" applyNumberFormat="1" applyFont="1" applyFill="1" applyBorder="1" applyAlignment="1">
      <alignment horizontal="left" vertical="center" wrapText="1"/>
    </xf>
    <xf numFmtId="4" fontId="53" fillId="0" borderId="5" xfId="1" applyNumberFormat="1" applyFont="1" applyFill="1" applyBorder="1" applyAlignment="1">
      <alignment horizontal="left" vertical="center" wrapText="1"/>
    </xf>
    <xf numFmtId="4" fontId="53" fillId="3" borderId="19" xfId="1" applyNumberFormat="1" applyFont="1" applyFill="1" applyBorder="1" applyAlignment="1">
      <alignment horizontal="center" vertical="center" wrapText="1"/>
    </xf>
    <xf numFmtId="4" fontId="53" fillId="3" borderId="5" xfId="1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56" fillId="3" borderId="18" xfId="0" applyFont="1" applyFill="1" applyBorder="1" applyAlignment="1">
      <alignment horizontal="center" vertical="center" wrapText="1"/>
    </xf>
    <xf numFmtId="171" fontId="56" fillId="3" borderId="19" xfId="0" applyNumberFormat="1" applyFont="1" applyFill="1" applyBorder="1" applyAlignment="1">
      <alignment horizontal="center" vertical="center" wrapText="1"/>
    </xf>
    <xf numFmtId="171" fontId="56" fillId="3" borderId="5" xfId="0" applyNumberFormat="1" applyFont="1" applyFill="1" applyBorder="1" applyAlignment="1">
      <alignment horizontal="center" vertical="center" wrapText="1"/>
    </xf>
    <xf numFmtId="0" fontId="56" fillId="3" borderId="19" xfId="0" applyFont="1" applyFill="1" applyBorder="1" applyAlignment="1">
      <alignment horizontal="center" vertical="center" wrapText="1"/>
    </xf>
    <xf numFmtId="0" fontId="56" fillId="3" borderId="5" xfId="0" applyFont="1" applyFill="1" applyBorder="1" applyAlignment="1">
      <alignment horizontal="center" vertical="center" wrapText="1"/>
    </xf>
    <xf numFmtId="2" fontId="53" fillId="0" borderId="18" xfId="2" applyNumberFormat="1" applyFont="1" applyFill="1" applyBorder="1" applyAlignment="1">
      <alignment horizontal="center" vertical="center" wrapText="1"/>
    </xf>
    <xf numFmtId="2" fontId="53" fillId="0" borderId="18" xfId="2" applyNumberFormat="1" applyFont="1" applyFill="1" applyBorder="1" applyAlignment="1">
      <alignment horizontal="left" vertical="center" wrapText="1"/>
    </xf>
    <xf numFmtId="0" fontId="53" fillId="0" borderId="19" xfId="447" applyFont="1" applyFill="1" applyBorder="1" applyAlignment="1">
      <alignment horizontal="center" vertical="center" wrapText="1"/>
    </xf>
    <xf numFmtId="0" fontId="53" fillId="0" borderId="5" xfId="447" applyFont="1" applyFill="1" applyBorder="1" applyAlignment="1">
      <alignment horizontal="center" vertical="center" wrapText="1"/>
    </xf>
    <xf numFmtId="2" fontId="53" fillId="0" borderId="19" xfId="2" applyNumberFormat="1" applyFont="1" applyFill="1" applyBorder="1" applyAlignment="1">
      <alignment horizontal="center" vertical="center" wrapText="1"/>
    </xf>
    <xf numFmtId="2" fontId="53" fillId="0" borderId="5" xfId="2" applyNumberFormat="1" applyFont="1" applyFill="1" applyBorder="1" applyAlignment="1">
      <alignment horizontal="center" vertical="center" wrapText="1"/>
    </xf>
    <xf numFmtId="2" fontId="53" fillId="0" borderId="19" xfId="2" applyNumberFormat="1" applyFont="1" applyFill="1" applyBorder="1" applyAlignment="1">
      <alignment horizontal="left" vertical="center" wrapText="1"/>
    </xf>
    <xf numFmtId="2" fontId="53" fillId="0" borderId="5" xfId="2" applyNumberFormat="1" applyFont="1" applyFill="1" applyBorder="1" applyAlignment="1">
      <alignment horizontal="left" vertical="center" wrapText="1"/>
    </xf>
    <xf numFmtId="2" fontId="53" fillId="0" borderId="20" xfId="1" applyNumberFormat="1" applyFont="1" applyFill="1" applyBorder="1" applyAlignment="1">
      <alignment horizontal="center" vertical="center" wrapText="1"/>
    </xf>
    <xf numFmtId="2" fontId="53" fillId="0" borderId="21" xfId="1" applyNumberFormat="1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56" fillId="0" borderId="3" xfId="0" applyFont="1" applyFill="1" applyBorder="1" applyAlignment="1">
      <alignment horizontal="center" vertical="center" wrapText="1"/>
    </xf>
    <xf numFmtId="2" fontId="53" fillId="0" borderId="3" xfId="2" applyNumberFormat="1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56" fillId="0" borderId="7" xfId="0" applyFont="1" applyFill="1" applyBorder="1" applyAlignment="1">
      <alignment horizontal="center" vertical="top" wrapText="1"/>
    </xf>
    <xf numFmtId="3" fontId="56" fillId="3" borderId="18" xfId="0" applyNumberFormat="1" applyFont="1" applyFill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5" xfId="0" applyFont="1" applyBorder="1" applyAlignment="1">
      <alignment horizontal="center" vertical="center" wrapText="1"/>
    </xf>
    <xf numFmtId="0" fontId="56" fillId="0" borderId="5" xfId="0" applyFont="1" applyFill="1" applyBorder="1" applyAlignment="1">
      <alignment horizontal="center" vertical="center" wrapText="1"/>
    </xf>
    <xf numFmtId="2" fontId="53" fillId="0" borderId="19" xfId="1" applyNumberFormat="1" applyFont="1" applyFill="1" applyBorder="1" applyAlignment="1">
      <alignment horizontal="center" vertical="center" wrapText="1"/>
    </xf>
    <xf numFmtId="2" fontId="53" fillId="0" borderId="5" xfId="1" applyNumberFormat="1" applyFont="1" applyFill="1" applyBorder="1" applyAlignment="1">
      <alignment horizontal="center" vertical="center" wrapText="1"/>
    </xf>
    <xf numFmtId="2" fontId="53" fillId="0" borderId="2" xfId="2" applyNumberFormat="1" applyFont="1" applyFill="1" applyBorder="1" applyAlignment="1">
      <alignment horizontal="center" vertical="center" wrapText="1"/>
    </xf>
    <xf numFmtId="2" fontId="53" fillId="0" borderId="2" xfId="2" applyNumberFormat="1" applyFont="1" applyFill="1" applyBorder="1" applyAlignment="1">
      <alignment horizontal="left" vertical="center" wrapText="1"/>
    </xf>
    <xf numFmtId="2" fontId="53" fillId="0" borderId="1" xfId="2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top" wrapText="1"/>
    </xf>
    <xf numFmtId="49" fontId="53" fillId="0" borderId="0" xfId="447" applyNumberFormat="1" applyFont="1" applyFill="1" applyAlignment="1">
      <alignment horizontal="left" vertical="center" wrapText="1"/>
    </xf>
    <xf numFmtId="0" fontId="53" fillId="0" borderId="0" xfId="447" applyFont="1" applyFill="1" applyAlignment="1">
      <alignment horizontal="center" vertical="center" wrapText="1"/>
    </xf>
    <xf numFmtId="175" fontId="56" fillId="0" borderId="18" xfId="1216" applyNumberFormat="1" applyFont="1" applyFill="1" applyBorder="1" applyAlignment="1">
      <alignment horizontal="center" vertical="center" wrapText="1"/>
    </xf>
    <xf numFmtId="9" fontId="56" fillId="0" borderId="18" xfId="1216" applyFont="1" applyFill="1" applyBorder="1" applyAlignment="1">
      <alignment horizontal="center" vertical="center" wrapText="1"/>
    </xf>
    <xf numFmtId="49" fontId="53" fillId="0" borderId="0" xfId="447" applyNumberFormat="1" applyFont="1" applyFill="1" applyBorder="1" applyAlignment="1">
      <alignment horizontal="left"/>
    </xf>
    <xf numFmtId="0" fontId="53" fillId="0" borderId="18" xfId="447" applyFont="1" applyFill="1" applyBorder="1" applyAlignment="1">
      <alignment horizontal="left" vertical="center" wrapText="1"/>
    </xf>
    <xf numFmtId="0" fontId="57" fillId="0" borderId="24" xfId="447" applyFont="1" applyFill="1" applyBorder="1" applyAlignment="1">
      <alignment horizontal="left"/>
    </xf>
    <xf numFmtId="0" fontId="57" fillId="0" borderId="0" xfId="447" applyFont="1" applyFill="1" applyBorder="1" applyAlignment="1">
      <alignment horizontal="left" indent="6"/>
    </xf>
    <xf numFmtId="0" fontId="53" fillId="0" borderId="22" xfId="447" applyFont="1" applyFill="1" applyBorder="1" applyAlignment="1">
      <alignment horizontal="center" vertical="center" wrapText="1"/>
    </xf>
    <xf numFmtId="0" fontId="53" fillId="0" borderId="23" xfId="447" applyFont="1" applyFill="1" applyBorder="1" applyAlignment="1">
      <alignment horizontal="center" vertical="center" wrapText="1"/>
    </xf>
    <xf numFmtId="0" fontId="53" fillId="0" borderId="18" xfId="447" applyFont="1" applyFill="1" applyBorder="1" applyAlignment="1">
      <alignment horizontal="center" vertical="top" wrapText="1"/>
    </xf>
    <xf numFmtId="4" fontId="56" fillId="3" borderId="19" xfId="0" applyNumberFormat="1" applyFont="1" applyFill="1" applyBorder="1" applyAlignment="1">
      <alignment horizontal="center" vertical="center" wrapText="1"/>
    </xf>
    <xf numFmtId="4" fontId="56" fillId="3" borderId="5" xfId="0" applyNumberFormat="1" applyFont="1" applyFill="1" applyBorder="1" applyAlignment="1">
      <alignment horizontal="center" vertical="center" wrapText="1"/>
    </xf>
    <xf numFmtId="0" fontId="53" fillId="0" borderId="19" xfId="1" applyFont="1" applyFill="1" applyBorder="1" applyAlignment="1">
      <alignment horizontal="center" vertical="center" wrapText="1"/>
    </xf>
    <xf numFmtId="0" fontId="53" fillId="0" borderId="5" xfId="1" applyFont="1" applyFill="1" applyBorder="1" applyAlignment="1">
      <alignment horizontal="center" vertical="center" wrapText="1"/>
    </xf>
    <xf numFmtId="2" fontId="53" fillId="0" borderId="25" xfId="1" applyNumberFormat="1" applyFont="1" applyFill="1" applyBorder="1" applyAlignment="1">
      <alignment horizontal="center" vertical="center" wrapText="1"/>
    </xf>
    <xf numFmtId="3" fontId="56" fillId="3" borderId="19" xfId="0" applyNumberFormat="1" applyFont="1" applyFill="1" applyBorder="1" applyAlignment="1">
      <alignment horizontal="center" vertical="center" wrapText="1"/>
    </xf>
    <xf numFmtId="3" fontId="56" fillId="3" borderId="5" xfId="0" applyNumberFormat="1" applyFont="1" applyFill="1" applyBorder="1" applyAlignment="1">
      <alignment horizontal="center" vertical="center" wrapText="1"/>
    </xf>
    <xf numFmtId="0" fontId="59" fillId="0" borderId="18" xfId="447" applyFont="1" applyFill="1" applyBorder="1" applyAlignment="1">
      <alignment horizontal="center" vertical="center"/>
    </xf>
    <xf numFmtId="0" fontId="53" fillId="0" borderId="18" xfId="447" applyFont="1" applyFill="1" applyBorder="1" applyAlignment="1">
      <alignment horizontal="left" wrapText="1"/>
    </xf>
    <xf numFmtId="0" fontId="53" fillId="0" borderId="18" xfId="447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 wrapText="1"/>
    </xf>
    <xf numFmtId="0" fontId="53" fillId="0" borderId="5" xfId="0" applyFont="1" applyFill="1" applyBorder="1" applyAlignment="1">
      <alignment horizontal="center" vertical="center" wrapText="1"/>
    </xf>
    <xf numFmtId="0" fontId="53" fillId="3" borderId="19" xfId="447" applyFont="1" applyFill="1" applyBorder="1" applyAlignment="1">
      <alignment horizontal="center" vertical="center" wrapText="1"/>
    </xf>
    <xf numFmtId="0" fontId="53" fillId="3" borderId="5" xfId="447" applyFont="1" applyFill="1" applyBorder="1" applyAlignment="1">
      <alignment horizontal="center" vertical="center" wrapText="1"/>
    </xf>
    <xf numFmtId="4" fontId="53" fillId="3" borderId="19" xfId="447" applyNumberFormat="1" applyFont="1" applyFill="1" applyBorder="1" applyAlignment="1">
      <alignment horizontal="center" vertical="center" wrapText="1"/>
    </xf>
    <xf numFmtId="4" fontId="53" fillId="3" borderId="5" xfId="447" applyNumberFormat="1" applyFont="1" applyFill="1" applyBorder="1" applyAlignment="1">
      <alignment horizontal="center" vertical="center" wrapText="1"/>
    </xf>
    <xf numFmtId="0" fontId="53" fillId="3" borderId="0" xfId="447" applyFont="1" applyFill="1" applyAlignment="1">
      <alignment horizontal="center" vertical="center" wrapText="1"/>
    </xf>
    <xf numFmtId="3" fontId="53" fillId="3" borderId="19" xfId="447" applyNumberFormat="1" applyFont="1" applyFill="1" applyBorder="1" applyAlignment="1">
      <alignment horizontal="center" vertical="center" wrapText="1"/>
    </xf>
    <xf numFmtId="3" fontId="53" fillId="3" borderId="5" xfId="447" applyNumberFormat="1" applyFont="1" applyFill="1" applyBorder="1" applyAlignment="1">
      <alignment horizontal="center" vertical="center" wrapText="1"/>
    </xf>
    <xf numFmtId="0" fontId="57" fillId="0" borderId="0" xfId="447" applyFont="1" applyFill="1" applyBorder="1" applyAlignment="1">
      <alignment horizontal="left"/>
    </xf>
    <xf numFmtId="0" fontId="53" fillId="0" borderId="19" xfId="447" applyFont="1" applyBorder="1" applyAlignment="1">
      <alignment horizontal="center" vertical="center" wrapText="1"/>
    </xf>
    <xf numFmtId="0" fontId="53" fillId="0" borderId="5" xfId="447" applyFont="1" applyBorder="1" applyAlignment="1">
      <alignment horizontal="center" vertical="center" wrapText="1"/>
    </xf>
    <xf numFmtId="0" fontId="53" fillId="3" borderId="18" xfId="447" applyFont="1" applyFill="1" applyBorder="1" applyAlignment="1">
      <alignment horizontal="center" vertical="center" wrapText="1"/>
    </xf>
    <xf numFmtId="0" fontId="53" fillId="3" borderId="18" xfId="447" applyFont="1" applyFill="1" applyBorder="1" applyAlignment="1">
      <alignment horizontal="center" vertical="center"/>
    </xf>
    <xf numFmtId="0" fontId="53" fillId="3" borderId="18" xfId="447" applyFont="1" applyFill="1" applyBorder="1" applyAlignment="1">
      <alignment horizontal="left" vertical="center" wrapText="1"/>
    </xf>
    <xf numFmtId="0" fontId="53" fillId="0" borderId="0" xfId="447" applyFont="1" applyAlignment="1">
      <alignment horizontal="center" wrapText="1"/>
    </xf>
    <xf numFmtId="0" fontId="53" fillId="0" borderId="18" xfId="447" applyFont="1" applyBorder="1" applyAlignment="1">
      <alignment horizontal="center" vertical="center" wrapText="1"/>
    </xf>
    <xf numFmtId="0" fontId="53" fillId="0" borderId="20" xfId="447" applyFont="1" applyFill="1" applyBorder="1" applyAlignment="1">
      <alignment horizontal="center" vertical="center" wrapText="1"/>
    </xf>
    <xf numFmtId="0" fontId="53" fillId="0" borderId="21" xfId="447" applyFont="1" applyFill="1" applyBorder="1" applyAlignment="1">
      <alignment horizontal="center" vertical="center" wrapText="1"/>
    </xf>
    <xf numFmtId="0" fontId="56" fillId="0" borderId="19" xfId="447" applyFont="1" applyFill="1" applyBorder="1" applyAlignment="1">
      <alignment horizontal="center" vertical="center" wrapText="1"/>
    </xf>
    <xf numFmtId="0" fontId="56" fillId="0" borderId="5" xfId="447" applyFont="1" applyFill="1" applyBorder="1" applyAlignment="1">
      <alignment horizontal="center" vertical="center" wrapText="1"/>
    </xf>
    <xf numFmtId="0" fontId="53" fillId="0" borderId="0" xfId="447" applyFont="1" applyAlignment="1">
      <alignment horizontal="left"/>
    </xf>
    <xf numFmtId="0" fontId="53" fillId="0" borderId="18" xfId="447" applyFont="1" applyBorder="1" applyAlignment="1">
      <alignment horizontal="center" vertical="center"/>
    </xf>
    <xf numFmtId="0" fontId="53" fillId="0" borderId="22" xfId="447" applyFont="1" applyBorder="1" applyAlignment="1">
      <alignment horizontal="center" vertical="center" wrapText="1"/>
    </xf>
    <xf numFmtId="0" fontId="53" fillId="0" borderId="4" xfId="447" applyFont="1" applyBorder="1" applyAlignment="1">
      <alignment horizontal="center" vertical="center" wrapText="1"/>
    </xf>
    <xf numFmtId="0" fontId="53" fillId="0" borderId="22" xfId="447" applyFont="1" applyBorder="1" applyAlignment="1">
      <alignment horizontal="left" vertical="center" wrapText="1"/>
    </xf>
    <xf numFmtId="0" fontId="53" fillId="0" borderId="4" xfId="447" applyFont="1" applyBorder="1" applyAlignment="1">
      <alignment horizontal="left" vertical="center" wrapText="1"/>
    </xf>
    <xf numFmtId="0" fontId="53" fillId="0" borderId="0" xfId="447" applyFont="1" applyBorder="1" applyAlignment="1">
      <alignment horizontal="left" wrapText="1"/>
    </xf>
    <xf numFmtId="0" fontId="51" fillId="0" borderId="19" xfId="686" applyFont="1" applyFill="1" applyBorder="1" applyAlignment="1">
      <alignment horizontal="center" vertical="top" wrapText="1"/>
    </xf>
    <xf numFmtId="0" fontId="51" fillId="0" borderId="5" xfId="686" applyFont="1" applyFill="1" applyBorder="1" applyAlignment="1">
      <alignment horizontal="center" vertical="top" wrapText="1"/>
    </xf>
    <xf numFmtId="0" fontId="51" fillId="0" borderId="19" xfId="686" applyFont="1" applyFill="1" applyBorder="1" applyAlignment="1">
      <alignment horizontal="center" vertical="center" wrapText="1"/>
    </xf>
    <xf numFmtId="0" fontId="51" fillId="0" borderId="5" xfId="686" applyFont="1" applyFill="1" applyBorder="1" applyAlignment="1">
      <alignment horizontal="center" vertical="center" wrapText="1"/>
    </xf>
    <xf numFmtId="0" fontId="51" fillId="0" borderId="19" xfId="686" applyFont="1" applyFill="1" applyBorder="1" applyAlignment="1">
      <alignment horizontal="left" vertical="center" wrapText="1"/>
    </xf>
    <xf numFmtId="0" fontId="51" fillId="0" borderId="5" xfId="686" applyFont="1" applyFill="1" applyBorder="1" applyAlignment="1">
      <alignment horizontal="left" vertical="center" wrapText="1"/>
    </xf>
    <xf numFmtId="0" fontId="51" fillId="0" borderId="0" xfId="686" applyFont="1" applyFill="1" applyAlignment="1">
      <alignment horizontal="center" vertical="center" wrapText="1"/>
    </xf>
    <xf numFmtId="0" fontId="51" fillId="0" borderId="7" xfId="686" applyFont="1" applyFill="1" applyBorder="1" applyAlignment="1">
      <alignment horizontal="center" vertical="center" wrapText="1"/>
    </xf>
    <xf numFmtId="0" fontId="51" fillId="0" borderId="20" xfId="686" applyFont="1" applyFill="1" applyBorder="1" applyAlignment="1">
      <alignment horizontal="center" vertical="top" wrapText="1"/>
    </xf>
    <xf numFmtId="0" fontId="51" fillId="0" borderId="21" xfId="686" applyFont="1" applyFill="1" applyBorder="1" applyAlignment="1">
      <alignment horizontal="center" vertical="top" wrapText="1"/>
    </xf>
    <xf numFmtId="0" fontId="51" fillId="0" borderId="18" xfId="686" applyFont="1" applyFill="1" applyBorder="1" applyAlignment="1">
      <alignment horizontal="center" vertical="top" wrapText="1"/>
    </xf>
  </cellXfs>
  <cellStyles count="1217">
    <cellStyle name="_ЗРК№256 от 29.03.2010 прил1 рус" xfId="3"/>
    <cellStyle name="_ОТ АСИИ" xfId="4"/>
    <cellStyle name="_Перечень бип 2011-2013 гг 22.11.2010" xfId="5"/>
    <cellStyle name="_после корректоров Приложения 1-4, 6-11 (рус)" xfId="6"/>
    <cellStyle name="_Приложение 2 от 15.12.2010 г." xfId="7"/>
    <cellStyle name="_приложение 4 (рус)" xfId="8"/>
    <cellStyle name="_Прлиложения БИП рус,каз 1,20,21" xfId="9"/>
    <cellStyle name="_ПРОБЛЕМНЫЕ  2012-2014 (22.09.11)" xfId="10"/>
    <cellStyle name="_Свод численность на 2011 год 31.07.10" xfId="11"/>
    <cellStyle name="20% - Акцент1 2" xfId="12"/>
    <cellStyle name="20% — акцент1 2" xfId="940"/>
    <cellStyle name="20% - Акцент1 2 2" xfId="13"/>
    <cellStyle name="20% - Акцент1 2 2 2" xfId="14"/>
    <cellStyle name="20% - Акцент1 2 2 2 2" xfId="15"/>
    <cellStyle name="20% - Акцент1 2 2 2 2 2" xfId="941"/>
    <cellStyle name="20% - Акцент1 2 2 2 3" xfId="942"/>
    <cellStyle name="20% - Акцент1 2 2 3" xfId="16"/>
    <cellStyle name="20% - Акцент1 2 2 3 2" xfId="943"/>
    <cellStyle name="20% - Акцент1 2 2 4" xfId="944"/>
    <cellStyle name="20% - Акцент1 2 2_План финансирования на 2013 год" xfId="17"/>
    <cellStyle name="20% - Акцент1 2 3" xfId="18"/>
    <cellStyle name="20% - Акцент1 2 3 2" xfId="19"/>
    <cellStyle name="20% - Акцент1 2 3 2 2" xfId="945"/>
    <cellStyle name="20% - Акцент1 2 3 3" xfId="946"/>
    <cellStyle name="20% - Акцент1 2 4" xfId="20"/>
    <cellStyle name="20% - Акцент1 2 4 2" xfId="21"/>
    <cellStyle name="20% - Акцент1 2 4 3" xfId="947"/>
    <cellStyle name="20% - Акцент1 2 5" xfId="22"/>
    <cellStyle name="20% - Акцент1 2 6" xfId="948"/>
    <cellStyle name="20% - Акцент1 2_Август по объектно" xfId="23"/>
    <cellStyle name="20% - Акцент1 3" xfId="24"/>
    <cellStyle name="20% - Акцент1 3 2" xfId="949"/>
    <cellStyle name="20% - Акцент1 4" xfId="25"/>
    <cellStyle name="20% - Акцент1 4 2" xfId="950"/>
    <cellStyle name="20% - Акцент2 2" xfId="26"/>
    <cellStyle name="20% — акцент2 2" xfId="951"/>
    <cellStyle name="20% - Акцент2 2 2" xfId="27"/>
    <cellStyle name="20% - Акцент2 2 2 2" xfId="28"/>
    <cellStyle name="20% - Акцент2 2 2 2 2" xfId="29"/>
    <cellStyle name="20% - Акцент2 2 2 2 2 2" xfId="952"/>
    <cellStyle name="20% - Акцент2 2 2 2 3" xfId="953"/>
    <cellStyle name="20% - Акцент2 2 2 3" xfId="30"/>
    <cellStyle name="20% - Акцент2 2 2 3 2" xfId="954"/>
    <cellStyle name="20% - Акцент2 2 2 4" xfId="955"/>
    <cellStyle name="20% - Акцент2 2 2_План финансирования на 2013 год" xfId="31"/>
    <cellStyle name="20% - Акцент2 2 3" xfId="32"/>
    <cellStyle name="20% - Акцент2 2 3 2" xfId="33"/>
    <cellStyle name="20% - Акцент2 2 3 2 2" xfId="956"/>
    <cellStyle name="20% - Акцент2 2 3 3" xfId="957"/>
    <cellStyle name="20% - Акцент2 2 4" xfId="34"/>
    <cellStyle name="20% - Акцент2 2 4 2" xfId="35"/>
    <cellStyle name="20% - Акцент2 2 4 3" xfId="958"/>
    <cellStyle name="20% - Акцент2 2 5" xfId="36"/>
    <cellStyle name="20% - Акцент2 2 6" xfId="959"/>
    <cellStyle name="20% - Акцент2 2_План финансирования на 2013 год" xfId="37"/>
    <cellStyle name="20% - Акцент2 3" xfId="38"/>
    <cellStyle name="20% - Акцент2 3 2" xfId="960"/>
    <cellStyle name="20% - Акцент2 4" xfId="39"/>
    <cellStyle name="20% - Акцент2 4 2" xfId="961"/>
    <cellStyle name="20% - Акцент3 2" xfId="40"/>
    <cellStyle name="20% — акцент3 2" xfId="962"/>
    <cellStyle name="20% - Акцент3 2 2" xfId="41"/>
    <cellStyle name="20% - Акцент3 2 2 2" xfId="42"/>
    <cellStyle name="20% - Акцент3 2 2 2 2" xfId="43"/>
    <cellStyle name="20% - Акцент3 2 2 2 2 2" xfId="963"/>
    <cellStyle name="20% - Акцент3 2 2 2 3" xfId="964"/>
    <cellStyle name="20% - Акцент3 2 2 3" xfId="44"/>
    <cellStyle name="20% - Акцент3 2 2 3 2" xfId="965"/>
    <cellStyle name="20% - Акцент3 2 2 4" xfId="966"/>
    <cellStyle name="20% - Акцент3 2 2_План финансирования на 2013 год" xfId="45"/>
    <cellStyle name="20% - Акцент3 2 3" xfId="46"/>
    <cellStyle name="20% - Акцент3 2 3 2" xfId="47"/>
    <cellStyle name="20% - Акцент3 2 3 2 2" xfId="967"/>
    <cellStyle name="20% - Акцент3 2 3 3" xfId="968"/>
    <cellStyle name="20% - Акцент3 2 4" xfId="48"/>
    <cellStyle name="20% - Акцент3 2 4 2" xfId="49"/>
    <cellStyle name="20% - Акцент3 2 4 3" xfId="969"/>
    <cellStyle name="20% - Акцент3 2 5" xfId="50"/>
    <cellStyle name="20% - Акцент3 2 6" xfId="970"/>
    <cellStyle name="20% - Акцент3 2_Август по объектно" xfId="51"/>
    <cellStyle name="20% - Акцент3 3" xfId="52"/>
    <cellStyle name="20% - Акцент3 3 2" xfId="971"/>
    <cellStyle name="20% - Акцент3 4" xfId="53"/>
    <cellStyle name="20% - Акцент3 4 2" xfId="972"/>
    <cellStyle name="20% - Акцент4 2" xfId="54"/>
    <cellStyle name="20% — акцент4 2" xfId="973"/>
    <cellStyle name="20% - Акцент4 2 2" xfId="55"/>
    <cellStyle name="20% - Акцент4 2 2 2" xfId="56"/>
    <cellStyle name="20% - Акцент4 2 2 2 2" xfId="57"/>
    <cellStyle name="20% - Акцент4 2 2 2 2 2" xfId="974"/>
    <cellStyle name="20% - Акцент4 2 2 2 3" xfId="975"/>
    <cellStyle name="20% - Акцент4 2 2 3" xfId="58"/>
    <cellStyle name="20% - Акцент4 2 2 3 2" xfId="976"/>
    <cellStyle name="20% - Акцент4 2 2 4" xfId="977"/>
    <cellStyle name="20% - Акцент4 2 2_План финансирования на 2013 год" xfId="59"/>
    <cellStyle name="20% - Акцент4 2 3" xfId="60"/>
    <cellStyle name="20% - Акцент4 2 3 2" xfId="61"/>
    <cellStyle name="20% - Акцент4 2 3 2 2" xfId="978"/>
    <cellStyle name="20% - Акцент4 2 3 3" xfId="979"/>
    <cellStyle name="20% - Акцент4 2 4" xfId="62"/>
    <cellStyle name="20% - Акцент4 2 4 2" xfId="63"/>
    <cellStyle name="20% - Акцент4 2 4 3" xfId="980"/>
    <cellStyle name="20% - Акцент4 2 5" xfId="64"/>
    <cellStyle name="20% - Акцент4 2 6" xfId="981"/>
    <cellStyle name="20% - Акцент4 2_План финансирования на 2013 год" xfId="65"/>
    <cellStyle name="20% - Акцент4 3" xfId="66"/>
    <cellStyle name="20% - Акцент4 3 2" xfId="982"/>
    <cellStyle name="20% - Акцент4 4" xfId="67"/>
    <cellStyle name="20% - Акцент4 4 2" xfId="983"/>
    <cellStyle name="20% - Акцент5 2" xfId="68"/>
    <cellStyle name="20% — акцент5 2" xfId="984"/>
    <cellStyle name="20% - Акцент5 2 2" xfId="69"/>
    <cellStyle name="20% - Акцент5 2 2 2" xfId="70"/>
    <cellStyle name="20% - Акцент5 2 2 2 2" xfId="71"/>
    <cellStyle name="20% - Акцент5 2 2 2 2 2" xfId="985"/>
    <cellStyle name="20% - Акцент5 2 2 2 3" xfId="986"/>
    <cellStyle name="20% - Акцент5 2 2 3" xfId="72"/>
    <cellStyle name="20% - Акцент5 2 2 3 2" xfId="987"/>
    <cellStyle name="20% - Акцент5 2 2 4" xfId="988"/>
    <cellStyle name="20% - Акцент5 2 2_План финансирования на 2013 год" xfId="73"/>
    <cellStyle name="20% - Акцент5 2 3" xfId="74"/>
    <cellStyle name="20% - Акцент5 2 3 2" xfId="75"/>
    <cellStyle name="20% - Акцент5 2 3 2 2" xfId="989"/>
    <cellStyle name="20% - Акцент5 2 3 3" xfId="990"/>
    <cellStyle name="20% - Акцент5 2 4" xfId="76"/>
    <cellStyle name="20% - Акцент5 2 4 2" xfId="77"/>
    <cellStyle name="20% - Акцент5 2 4 3" xfId="991"/>
    <cellStyle name="20% - Акцент5 2 5" xfId="78"/>
    <cellStyle name="20% - Акцент5 2 6" xfId="992"/>
    <cellStyle name="20% - Акцент5 2_План финансирования на 2013 год" xfId="79"/>
    <cellStyle name="20% - Акцент5 3" xfId="80"/>
    <cellStyle name="20% - Акцент5 3 2" xfId="993"/>
    <cellStyle name="20% - Акцент5 4" xfId="81"/>
    <cellStyle name="20% - Акцент5 4 2" xfId="994"/>
    <cellStyle name="20% - Акцент6 2" xfId="82"/>
    <cellStyle name="20% — акцент6 2" xfId="995"/>
    <cellStyle name="20% - Акцент6 2 2" xfId="83"/>
    <cellStyle name="20% - Акцент6 2 2 2" xfId="84"/>
    <cellStyle name="20% - Акцент6 2 2 2 2" xfId="85"/>
    <cellStyle name="20% - Акцент6 2 2 2 2 2" xfId="996"/>
    <cellStyle name="20% - Акцент6 2 2 2 3" xfId="997"/>
    <cellStyle name="20% - Акцент6 2 2 3" xfId="86"/>
    <cellStyle name="20% - Акцент6 2 2 3 2" xfId="998"/>
    <cellStyle name="20% - Акцент6 2 2 4" xfId="999"/>
    <cellStyle name="20% - Акцент6 2 2_План финансирования на 2013 год" xfId="87"/>
    <cellStyle name="20% - Акцент6 2 3" xfId="88"/>
    <cellStyle name="20% - Акцент6 2 3 2" xfId="89"/>
    <cellStyle name="20% - Акцент6 2 3 2 2" xfId="1000"/>
    <cellStyle name="20% - Акцент6 2 3 3" xfId="1001"/>
    <cellStyle name="20% - Акцент6 2 4" xfId="90"/>
    <cellStyle name="20% - Акцент6 2 4 2" xfId="91"/>
    <cellStyle name="20% - Акцент6 2 4 3" xfId="1002"/>
    <cellStyle name="20% - Акцент6 2 5" xfId="92"/>
    <cellStyle name="20% - Акцент6 2 6" xfId="1003"/>
    <cellStyle name="20% - Акцент6 2_Август по объектно" xfId="93"/>
    <cellStyle name="20% - Акцент6 3" xfId="94"/>
    <cellStyle name="20% - Акцент6 3 2" xfId="1004"/>
    <cellStyle name="20% - Акцент6 4" xfId="95"/>
    <cellStyle name="20% - Акцент6 4 2" xfId="1005"/>
    <cellStyle name="40% - Акцент1 2" xfId="96"/>
    <cellStyle name="40% — акцент1 2" xfId="1006"/>
    <cellStyle name="40% - Акцент1 2 2" xfId="97"/>
    <cellStyle name="40% - Акцент1 2 2 2" xfId="98"/>
    <cellStyle name="40% - Акцент1 2 2 2 2" xfId="99"/>
    <cellStyle name="40% - Акцент1 2 2 2 2 2" xfId="1007"/>
    <cellStyle name="40% - Акцент1 2 2 2 3" xfId="1008"/>
    <cellStyle name="40% - Акцент1 2 2 3" xfId="100"/>
    <cellStyle name="40% - Акцент1 2 2 3 2" xfId="1009"/>
    <cellStyle name="40% - Акцент1 2 2 4" xfId="1010"/>
    <cellStyle name="40% - Акцент1 2 2_План финансирования на 2013 год" xfId="101"/>
    <cellStyle name="40% - Акцент1 2 3" xfId="102"/>
    <cellStyle name="40% - Акцент1 2 3 2" xfId="103"/>
    <cellStyle name="40% - Акцент1 2 3 2 2" xfId="1011"/>
    <cellStyle name="40% - Акцент1 2 3 3" xfId="1012"/>
    <cellStyle name="40% - Акцент1 2 4" xfId="104"/>
    <cellStyle name="40% - Акцент1 2 4 2" xfId="105"/>
    <cellStyle name="40% - Акцент1 2 4 3" xfId="1013"/>
    <cellStyle name="40% - Акцент1 2 5" xfId="106"/>
    <cellStyle name="40% - Акцент1 2 6" xfId="1014"/>
    <cellStyle name="40% - Акцент1 2_План финансирования на 2013 год" xfId="107"/>
    <cellStyle name="40% - Акцент1 3" xfId="108"/>
    <cellStyle name="40% - Акцент1 3 2" xfId="1015"/>
    <cellStyle name="40% - Акцент1 4" xfId="109"/>
    <cellStyle name="40% - Акцент1 4 2" xfId="1016"/>
    <cellStyle name="40% - Акцент2 2" xfId="110"/>
    <cellStyle name="40% — акцент2 2" xfId="1017"/>
    <cellStyle name="40% - Акцент2 2 2" xfId="111"/>
    <cellStyle name="40% - Акцент2 2 2 2" xfId="112"/>
    <cellStyle name="40% - Акцент2 2 2 2 2" xfId="113"/>
    <cellStyle name="40% - Акцент2 2 2 2 2 2" xfId="1018"/>
    <cellStyle name="40% - Акцент2 2 2 2 3" xfId="1019"/>
    <cellStyle name="40% - Акцент2 2 2 3" xfId="114"/>
    <cellStyle name="40% - Акцент2 2 2 3 2" xfId="1020"/>
    <cellStyle name="40% - Акцент2 2 2 4" xfId="1021"/>
    <cellStyle name="40% - Акцент2 2 2_План финансирования на 2013 год" xfId="115"/>
    <cellStyle name="40% - Акцент2 2 3" xfId="116"/>
    <cellStyle name="40% - Акцент2 2 3 2" xfId="117"/>
    <cellStyle name="40% - Акцент2 2 3 2 2" xfId="1022"/>
    <cellStyle name="40% - Акцент2 2 3 3" xfId="1023"/>
    <cellStyle name="40% - Акцент2 2 4" xfId="118"/>
    <cellStyle name="40% - Акцент2 2 4 2" xfId="119"/>
    <cellStyle name="40% - Акцент2 2 4 3" xfId="1024"/>
    <cellStyle name="40% - Акцент2 2 5" xfId="120"/>
    <cellStyle name="40% - Акцент2 2 6" xfId="1025"/>
    <cellStyle name="40% - Акцент2 2_План финансирования на 2013 год" xfId="121"/>
    <cellStyle name="40% - Акцент2 3" xfId="122"/>
    <cellStyle name="40% - Акцент2 3 2" xfId="1026"/>
    <cellStyle name="40% - Акцент2 4" xfId="123"/>
    <cellStyle name="40% - Акцент2 4 2" xfId="1027"/>
    <cellStyle name="40% - Акцент3 2" xfId="124"/>
    <cellStyle name="40% — акцент3 2" xfId="1028"/>
    <cellStyle name="40% - Акцент3 2 2" xfId="125"/>
    <cellStyle name="40% - Акцент3 2 2 2" xfId="126"/>
    <cellStyle name="40% - Акцент3 2 2 2 2" xfId="127"/>
    <cellStyle name="40% - Акцент3 2 2 2 2 2" xfId="1029"/>
    <cellStyle name="40% - Акцент3 2 2 2 3" xfId="1030"/>
    <cellStyle name="40% - Акцент3 2 2 3" xfId="128"/>
    <cellStyle name="40% - Акцент3 2 2 3 2" xfId="1031"/>
    <cellStyle name="40% - Акцент3 2 2 4" xfId="1032"/>
    <cellStyle name="40% - Акцент3 2 2_План финансирования на 2013 год" xfId="129"/>
    <cellStyle name="40% - Акцент3 2 3" xfId="130"/>
    <cellStyle name="40% - Акцент3 2 3 2" xfId="131"/>
    <cellStyle name="40% - Акцент3 2 3 2 2" xfId="1033"/>
    <cellStyle name="40% - Акцент3 2 3 3" xfId="1034"/>
    <cellStyle name="40% - Акцент3 2 4" xfId="132"/>
    <cellStyle name="40% - Акцент3 2 4 2" xfId="133"/>
    <cellStyle name="40% - Акцент3 2 4 3" xfId="1035"/>
    <cellStyle name="40% - Акцент3 2 5" xfId="134"/>
    <cellStyle name="40% - Акцент3 2 6" xfId="1036"/>
    <cellStyle name="40% - Акцент3 2_Август по объектно" xfId="135"/>
    <cellStyle name="40% - Акцент3 3" xfId="136"/>
    <cellStyle name="40% - Акцент3 3 2" xfId="1037"/>
    <cellStyle name="40% - Акцент3 4" xfId="137"/>
    <cellStyle name="40% - Акцент3 4 2" xfId="1038"/>
    <cellStyle name="40% - Акцент4 2" xfId="138"/>
    <cellStyle name="40% — акцент4 2" xfId="1039"/>
    <cellStyle name="40% - Акцент4 2 2" xfId="139"/>
    <cellStyle name="40% - Акцент4 2 2 2" xfId="140"/>
    <cellStyle name="40% - Акцент4 2 2 2 2" xfId="141"/>
    <cellStyle name="40% - Акцент4 2 2 2 2 2" xfId="1040"/>
    <cellStyle name="40% - Акцент4 2 2 2 3" xfId="1041"/>
    <cellStyle name="40% - Акцент4 2 2 3" xfId="142"/>
    <cellStyle name="40% - Акцент4 2 2 3 2" xfId="1042"/>
    <cellStyle name="40% - Акцент4 2 2 4" xfId="1043"/>
    <cellStyle name="40% - Акцент4 2 2_План финансирования на 2013 год" xfId="143"/>
    <cellStyle name="40% - Акцент4 2 3" xfId="144"/>
    <cellStyle name="40% - Акцент4 2 3 2" xfId="145"/>
    <cellStyle name="40% - Акцент4 2 3 2 2" xfId="1044"/>
    <cellStyle name="40% - Акцент4 2 3 3" xfId="1045"/>
    <cellStyle name="40% - Акцент4 2 4" xfId="146"/>
    <cellStyle name="40% - Акцент4 2 4 2" xfId="147"/>
    <cellStyle name="40% - Акцент4 2 4 3" xfId="1046"/>
    <cellStyle name="40% - Акцент4 2 5" xfId="148"/>
    <cellStyle name="40% - Акцент4 2 6" xfId="1047"/>
    <cellStyle name="40% - Акцент4 2_План финансирования на 2013 год" xfId="149"/>
    <cellStyle name="40% - Акцент4 3" xfId="150"/>
    <cellStyle name="40% - Акцент4 3 2" xfId="1048"/>
    <cellStyle name="40% - Акцент4 4" xfId="151"/>
    <cellStyle name="40% - Акцент4 4 2" xfId="1049"/>
    <cellStyle name="40% - Акцент5 2" xfId="152"/>
    <cellStyle name="40% — акцент5 2" xfId="1050"/>
    <cellStyle name="40% - Акцент5 2 2" xfId="153"/>
    <cellStyle name="40% - Акцент5 2 2 2" xfId="154"/>
    <cellStyle name="40% - Акцент5 2 2 2 2" xfId="155"/>
    <cellStyle name="40% - Акцент5 2 2 2 2 2" xfId="1051"/>
    <cellStyle name="40% - Акцент5 2 2 2 3" xfId="1052"/>
    <cellStyle name="40% - Акцент5 2 2 3" xfId="156"/>
    <cellStyle name="40% - Акцент5 2 2 3 2" xfId="1053"/>
    <cellStyle name="40% - Акцент5 2 2 4" xfId="1054"/>
    <cellStyle name="40% - Акцент5 2 2_План финансирования на 2013 год" xfId="157"/>
    <cellStyle name="40% - Акцент5 2 3" xfId="158"/>
    <cellStyle name="40% - Акцент5 2 3 2" xfId="159"/>
    <cellStyle name="40% - Акцент5 2 3 2 2" xfId="1055"/>
    <cellStyle name="40% - Акцент5 2 3 3" xfId="1056"/>
    <cellStyle name="40% - Акцент5 2 4" xfId="160"/>
    <cellStyle name="40% - Акцент5 2 4 2" xfId="161"/>
    <cellStyle name="40% - Акцент5 2 4 3" xfId="1057"/>
    <cellStyle name="40% - Акцент5 2 5" xfId="162"/>
    <cellStyle name="40% - Акцент5 2 6" xfId="1058"/>
    <cellStyle name="40% - Акцент5 2_План финансирования на 2013 год" xfId="163"/>
    <cellStyle name="40% - Акцент5 3" xfId="164"/>
    <cellStyle name="40% - Акцент5 3 2" xfId="1059"/>
    <cellStyle name="40% - Акцент5 4" xfId="165"/>
    <cellStyle name="40% - Акцент5 4 2" xfId="1060"/>
    <cellStyle name="40% - Акцент6 2" xfId="166"/>
    <cellStyle name="40% — акцент6 2" xfId="1061"/>
    <cellStyle name="40% - Акцент6 2 2" xfId="167"/>
    <cellStyle name="40% - Акцент6 2 2 2" xfId="168"/>
    <cellStyle name="40% - Акцент6 2 2 2 2" xfId="169"/>
    <cellStyle name="40% - Акцент6 2 2 2 2 2" xfId="1062"/>
    <cellStyle name="40% - Акцент6 2 2 2 3" xfId="1063"/>
    <cellStyle name="40% - Акцент6 2 2 3" xfId="170"/>
    <cellStyle name="40% - Акцент6 2 2 3 2" xfId="1064"/>
    <cellStyle name="40% - Акцент6 2 2 4" xfId="1065"/>
    <cellStyle name="40% - Акцент6 2 2_План финансирования на 2013 год" xfId="171"/>
    <cellStyle name="40% - Акцент6 2 3" xfId="172"/>
    <cellStyle name="40% - Акцент6 2 3 2" xfId="173"/>
    <cellStyle name="40% - Акцент6 2 3 2 2" xfId="1066"/>
    <cellStyle name="40% - Акцент6 2 3 3" xfId="1067"/>
    <cellStyle name="40% - Акцент6 2 4" xfId="174"/>
    <cellStyle name="40% - Акцент6 2 4 2" xfId="175"/>
    <cellStyle name="40% - Акцент6 2 4 3" xfId="1068"/>
    <cellStyle name="40% - Акцент6 2 5" xfId="176"/>
    <cellStyle name="40% - Акцент6 2 6" xfId="1069"/>
    <cellStyle name="40% - Акцент6 2_План финансирования на 2013 год" xfId="177"/>
    <cellStyle name="40% - Акцент6 3" xfId="178"/>
    <cellStyle name="40% - Акцент6 3 2" xfId="1070"/>
    <cellStyle name="40% - Акцент6 4" xfId="179"/>
    <cellStyle name="40% - Акцент6 4 2" xfId="1071"/>
    <cellStyle name="60% - Акцент1 2" xfId="180"/>
    <cellStyle name="60% — акцент1 2" xfId="1072"/>
    <cellStyle name="60% - Акцент1 2 2" xfId="181"/>
    <cellStyle name="60% - Акцент1 2 2 2" xfId="182"/>
    <cellStyle name="60% - Акцент1 2 3" xfId="183"/>
    <cellStyle name="60% - Акцент1 2 4" xfId="184"/>
    <cellStyle name="60% - Акцент1 2 5" xfId="185"/>
    <cellStyle name="60% - Акцент1 2_16 МСХ 13.09.11 с проблемными" xfId="186"/>
    <cellStyle name="60% - Акцент1 3" xfId="187"/>
    <cellStyle name="60% - Акцент2 2" xfId="188"/>
    <cellStyle name="60% — акцент2 2" xfId="1073"/>
    <cellStyle name="60% - Акцент2 2 2" xfId="189"/>
    <cellStyle name="60% - Акцент2 2 2 2" xfId="190"/>
    <cellStyle name="60% - Акцент2 2 3" xfId="191"/>
    <cellStyle name="60% - Акцент2 2 4" xfId="192"/>
    <cellStyle name="60% - Акцент2 2 5" xfId="193"/>
    <cellStyle name="60% - Акцент2 2_16 МСХ 13.09.11 с проблемными" xfId="194"/>
    <cellStyle name="60% - Акцент2 3" xfId="195"/>
    <cellStyle name="60% - Акцент3 2" xfId="196"/>
    <cellStyle name="60% — акцент3 2" xfId="1074"/>
    <cellStyle name="60% - Акцент3 2 2" xfId="197"/>
    <cellStyle name="60% - Акцент3 2 2 2" xfId="198"/>
    <cellStyle name="60% - Акцент3 2 3" xfId="199"/>
    <cellStyle name="60% - Акцент3 2 4" xfId="200"/>
    <cellStyle name="60% - Акцент3 2 5" xfId="201"/>
    <cellStyle name="60% - Акцент3 2_16 МСХ 13.09.11 с проблемными" xfId="202"/>
    <cellStyle name="60% - Акцент3 3" xfId="203"/>
    <cellStyle name="60% - Акцент4 2" xfId="204"/>
    <cellStyle name="60% — акцент4 2" xfId="1075"/>
    <cellStyle name="60% - Акцент4 2 2" xfId="205"/>
    <cellStyle name="60% - Акцент4 2 2 2" xfId="206"/>
    <cellStyle name="60% - Акцент4 2 3" xfId="207"/>
    <cellStyle name="60% - Акцент4 2 4" xfId="208"/>
    <cellStyle name="60% - Акцент4 2 5" xfId="209"/>
    <cellStyle name="60% - Акцент4 2_16 МСХ 13.09.11 с проблемными" xfId="210"/>
    <cellStyle name="60% - Акцент4 3" xfId="211"/>
    <cellStyle name="60% - Акцент5 2" xfId="212"/>
    <cellStyle name="60% — акцент5 2" xfId="1076"/>
    <cellStyle name="60% - Акцент5 2 2" xfId="213"/>
    <cellStyle name="60% - Акцент5 2 2 2" xfId="214"/>
    <cellStyle name="60% - Акцент5 2 3" xfId="215"/>
    <cellStyle name="60% - Акцент5 2 4" xfId="216"/>
    <cellStyle name="60% - Акцент5 2 5" xfId="217"/>
    <cellStyle name="60% - Акцент5 2_16 МСХ 13.09.11 с проблемными" xfId="218"/>
    <cellStyle name="60% - Акцент5 3" xfId="219"/>
    <cellStyle name="60% - Акцент6 2" xfId="220"/>
    <cellStyle name="60% — акцент6 2" xfId="1077"/>
    <cellStyle name="60% - Акцент6 2 2" xfId="221"/>
    <cellStyle name="60% - Акцент6 2 2 2" xfId="222"/>
    <cellStyle name="60% - Акцент6 2 3" xfId="223"/>
    <cellStyle name="60% - Акцент6 2 4" xfId="224"/>
    <cellStyle name="60% - Акцент6 2 5" xfId="225"/>
    <cellStyle name="60% - Акцент6 2_16 МСХ 13.09.11 с проблемными" xfId="226"/>
    <cellStyle name="60% - Акцент6 3" xfId="227"/>
    <cellStyle name="Cell1" xfId="228"/>
    <cellStyle name="Cell2" xfId="229"/>
    <cellStyle name="Cell3" xfId="230"/>
    <cellStyle name="Cell4" xfId="231"/>
    <cellStyle name="Cell5" xfId="232"/>
    <cellStyle name="Column1" xfId="233"/>
    <cellStyle name="Column2" xfId="234"/>
    <cellStyle name="Column3" xfId="235"/>
    <cellStyle name="Column4" xfId="236"/>
    <cellStyle name="Column5" xfId="237"/>
    <cellStyle name="Column7" xfId="238"/>
    <cellStyle name="Data" xfId="239"/>
    <cellStyle name="Excel Built-in Normal" xfId="240"/>
    <cellStyle name="Heading1" xfId="241"/>
    <cellStyle name="Heading2" xfId="242"/>
    <cellStyle name="Heading3" xfId="243"/>
    <cellStyle name="Heading4" xfId="244"/>
    <cellStyle name="Name1" xfId="245"/>
    <cellStyle name="Name2" xfId="246"/>
    <cellStyle name="Name3" xfId="247"/>
    <cellStyle name="Name4" xfId="248"/>
    <cellStyle name="Name5" xfId="249"/>
    <cellStyle name="Normal 5" xfId="250"/>
    <cellStyle name="Normal 6" xfId="251"/>
    <cellStyle name="Normal_Sheet1" xfId="252"/>
    <cellStyle name="S0" xfId="253"/>
    <cellStyle name="S0 2" xfId="254"/>
    <cellStyle name="S1" xfId="255"/>
    <cellStyle name="S1 2" xfId="256"/>
    <cellStyle name="S10" xfId="257"/>
    <cellStyle name="S10 2" xfId="258"/>
    <cellStyle name="S2" xfId="259"/>
    <cellStyle name="S2 2" xfId="260"/>
    <cellStyle name="S3" xfId="261"/>
    <cellStyle name="S3 2" xfId="262"/>
    <cellStyle name="S4" xfId="263"/>
    <cellStyle name="S4 2" xfId="264"/>
    <cellStyle name="S4_16 МСХ 13.09.11 с проблемными" xfId="265"/>
    <cellStyle name="S5" xfId="266"/>
    <cellStyle name="S5 2" xfId="267"/>
    <cellStyle name="S5_16 МСХ 13.09.11 с проблемными" xfId="268"/>
    <cellStyle name="S6" xfId="269"/>
    <cellStyle name="S6 2" xfId="270"/>
    <cellStyle name="S7" xfId="271"/>
    <cellStyle name="S7 2" xfId="272"/>
    <cellStyle name="S8" xfId="273"/>
    <cellStyle name="S8 2" xfId="274"/>
    <cellStyle name="S9" xfId="275"/>
    <cellStyle name="S9 2" xfId="276"/>
    <cellStyle name="S9_ПРОБЛЕМНЫЕ  2012-2014 (22.09.11)" xfId="277"/>
    <cellStyle name="Title1" xfId="278"/>
    <cellStyle name="TitleCol1" xfId="279"/>
    <cellStyle name="TitleCol2" xfId="280"/>
    <cellStyle name="White1" xfId="281"/>
    <cellStyle name="White2" xfId="282"/>
    <cellStyle name="White3" xfId="283"/>
    <cellStyle name="White4" xfId="284"/>
    <cellStyle name="White5" xfId="285"/>
    <cellStyle name="Акцент1 2" xfId="286"/>
    <cellStyle name="Акцент1 2 2" xfId="287"/>
    <cellStyle name="Акцент1 2 2 2" xfId="288"/>
    <cellStyle name="Акцент1 2 3" xfId="289"/>
    <cellStyle name="Акцент1 2 4" xfId="290"/>
    <cellStyle name="Акцент1 2 5" xfId="291"/>
    <cellStyle name="Акцент1 2_16 МСХ 13.09.11 с проблемными" xfId="292"/>
    <cellStyle name="Акцент1 3" xfId="293"/>
    <cellStyle name="Акцент2 2" xfId="294"/>
    <cellStyle name="Акцент2 2 2" xfId="295"/>
    <cellStyle name="Акцент2 2 2 2" xfId="296"/>
    <cellStyle name="Акцент2 2 3" xfId="297"/>
    <cellStyle name="Акцент2 2 4" xfId="298"/>
    <cellStyle name="Акцент2 2 5" xfId="299"/>
    <cellStyle name="Акцент2 2_16 МСХ 13.09.11 с проблемными" xfId="300"/>
    <cellStyle name="Акцент2 3" xfId="301"/>
    <cellStyle name="Акцент3 2" xfId="302"/>
    <cellStyle name="Акцент3 2 2" xfId="303"/>
    <cellStyle name="Акцент3 2 2 2" xfId="304"/>
    <cellStyle name="Акцент3 2 3" xfId="305"/>
    <cellStyle name="Акцент3 2 4" xfId="306"/>
    <cellStyle name="Акцент3 2 5" xfId="307"/>
    <cellStyle name="Акцент3 2_16 МСХ 13.09.11 с проблемными" xfId="308"/>
    <cellStyle name="Акцент3 3" xfId="309"/>
    <cellStyle name="Акцент4 2" xfId="310"/>
    <cellStyle name="Акцент4 2 2" xfId="311"/>
    <cellStyle name="Акцент4 2 2 2" xfId="312"/>
    <cellStyle name="Акцент4 2 3" xfId="313"/>
    <cellStyle name="Акцент4 2 4" xfId="314"/>
    <cellStyle name="Акцент4 2 5" xfId="315"/>
    <cellStyle name="Акцент4 2_16 МСХ 13.09.11 с проблемными" xfId="316"/>
    <cellStyle name="Акцент4 3" xfId="317"/>
    <cellStyle name="Акцент5 2" xfId="318"/>
    <cellStyle name="Акцент5 2 2" xfId="319"/>
    <cellStyle name="Акцент5 2 2 2" xfId="320"/>
    <cellStyle name="Акцент5 2 3" xfId="321"/>
    <cellStyle name="Акцент5 2 4" xfId="322"/>
    <cellStyle name="Акцент5 2 5" xfId="323"/>
    <cellStyle name="Акцент5 2_16 МСХ 13.09.11 с проблемными" xfId="324"/>
    <cellStyle name="Акцент5 3" xfId="325"/>
    <cellStyle name="Акцент6 2" xfId="326"/>
    <cellStyle name="Акцент6 2 2" xfId="327"/>
    <cellStyle name="Акцент6 2 2 2" xfId="328"/>
    <cellStyle name="Акцент6 2 3" xfId="329"/>
    <cellStyle name="Акцент6 2 4" xfId="330"/>
    <cellStyle name="Акцент6 2 5" xfId="331"/>
    <cellStyle name="Акцент6 2_16 МСХ 13.09.11 с проблемными" xfId="332"/>
    <cellStyle name="Акцент6 3" xfId="333"/>
    <cellStyle name="Ввод  2" xfId="334"/>
    <cellStyle name="Ввод  2 2" xfId="335"/>
    <cellStyle name="Ввод  2 2 2" xfId="336"/>
    <cellStyle name="Ввод  2 2 3" xfId="337"/>
    <cellStyle name="Ввод  2 3" xfId="338"/>
    <cellStyle name="Ввод  2 4" xfId="339"/>
    <cellStyle name="Ввод  2 5" xfId="340"/>
    <cellStyle name="Ввод  2 6" xfId="341"/>
    <cellStyle name="Ввод  2_Электроэнергия" xfId="342"/>
    <cellStyle name="Ввод  3" xfId="343"/>
    <cellStyle name="Вывод 2" xfId="344"/>
    <cellStyle name="Вывод 2 2" xfId="345"/>
    <cellStyle name="Вывод 2 2 2" xfId="346"/>
    <cellStyle name="Вывод 2 2 3" xfId="347"/>
    <cellStyle name="Вывод 2 3" xfId="348"/>
    <cellStyle name="Вывод 2 4" xfId="349"/>
    <cellStyle name="Вывод 2 5" xfId="350"/>
    <cellStyle name="Вывод 2 6" xfId="351"/>
    <cellStyle name="Вывод 2_Электроэнергия" xfId="352"/>
    <cellStyle name="Вывод 3" xfId="353"/>
    <cellStyle name="Вычисление 2" xfId="354"/>
    <cellStyle name="Вычисление 2 2" xfId="355"/>
    <cellStyle name="Вычисление 2 2 2" xfId="356"/>
    <cellStyle name="Вычисление 2 2 3" xfId="357"/>
    <cellStyle name="Вычисление 2 3" xfId="358"/>
    <cellStyle name="Вычисление 2 4" xfId="359"/>
    <cellStyle name="Вычисление 2 5" xfId="360"/>
    <cellStyle name="Вычисление 2 6" xfId="361"/>
    <cellStyle name="Вычисление 2_Электроэнергия" xfId="362"/>
    <cellStyle name="Вычисление 3" xfId="363"/>
    <cellStyle name="Денежный 2" xfId="364"/>
    <cellStyle name="Денежный 2 2" xfId="1078"/>
    <cellStyle name="Денежный 2 3" xfId="1079"/>
    <cellStyle name="Денежный 3" xfId="1080"/>
    <cellStyle name="Денежный 4" xfId="1081"/>
    <cellStyle name="Заголовок 1 2" xfId="365"/>
    <cellStyle name="Заголовок 1 2 2" xfId="366"/>
    <cellStyle name="Заголовок 1 2 2 2" xfId="367"/>
    <cellStyle name="Заголовок 1 2 3" xfId="368"/>
    <cellStyle name="Заголовок 1 2 4" xfId="369"/>
    <cellStyle name="Заголовок 1 2 5" xfId="370"/>
    <cellStyle name="Заголовок 1 2_Электроэнергия" xfId="371"/>
    <cellStyle name="Заголовок 1 3" xfId="372"/>
    <cellStyle name="Заголовок 2 2" xfId="373"/>
    <cellStyle name="Заголовок 2 2 2" xfId="374"/>
    <cellStyle name="Заголовок 2 2 2 2" xfId="375"/>
    <cellStyle name="Заголовок 2 2 3" xfId="376"/>
    <cellStyle name="Заголовок 2 2 4" xfId="377"/>
    <cellStyle name="Заголовок 2 2 5" xfId="378"/>
    <cellStyle name="Заголовок 2 2_Электроэнергия" xfId="379"/>
    <cellStyle name="Заголовок 2 3" xfId="380"/>
    <cellStyle name="Заголовок 3 2" xfId="381"/>
    <cellStyle name="Заголовок 3 2 2" xfId="382"/>
    <cellStyle name="Заголовок 3 2 2 2" xfId="383"/>
    <cellStyle name="Заголовок 3 2 3" xfId="384"/>
    <cellStyle name="Заголовок 3 2 4" xfId="385"/>
    <cellStyle name="Заголовок 3 2 5" xfId="386"/>
    <cellStyle name="Заголовок 3 2_Электроэнергия" xfId="387"/>
    <cellStyle name="Заголовок 3 3" xfId="388"/>
    <cellStyle name="Заголовок 4 2" xfId="389"/>
    <cellStyle name="Заголовок 4 2 2" xfId="390"/>
    <cellStyle name="Заголовок 4 2 2 2" xfId="391"/>
    <cellStyle name="Заголовок 4 2 3" xfId="392"/>
    <cellStyle name="Заголовок 4 2 4" xfId="393"/>
    <cellStyle name="Заголовок 4 2 5" xfId="394"/>
    <cellStyle name="Заголовок 4 2_Электроэнергия" xfId="395"/>
    <cellStyle name="Заголовок 4 3" xfId="396"/>
    <cellStyle name="Итог 2" xfId="397"/>
    <cellStyle name="Итог 2 2" xfId="398"/>
    <cellStyle name="Итог 2 2 2" xfId="399"/>
    <cellStyle name="Итог 2 2 2 2" xfId="400"/>
    <cellStyle name="Итог 2 2 3" xfId="401"/>
    <cellStyle name="Итог 2 2 4" xfId="402"/>
    <cellStyle name="Итог 2 2_Электроэнергия" xfId="403"/>
    <cellStyle name="Итог 2 3" xfId="404"/>
    <cellStyle name="Итог 2 3 2" xfId="405"/>
    <cellStyle name="Итог 2 3 3" xfId="406"/>
    <cellStyle name="Итог 2 4" xfId="407"/>
    <cellStyle name="Итог 2 5" xfId="408"/>
    <cellStyle name="Итог 2 6" xfId="409"/>
    <cellStyle name="Итог 2_Электроэнергия" xfId="410"/>
    <cellStyle name="Итог 3" xfId="411"/>
    <cellStyle name="КАНДАГАЧ тел3-33-96" xfId="412"/>
    <cellStyle name="Контрольная ячейка 2" xfId="413"/>
    <cellStyle name="Контрольная ячейка 2 2" xfId="414"/>
    <cellStyle name="Контрольная ячейка 2 2 2" xfId="415"/>
    <cellStyle name="Контрольная ячейка 2 3" xfId="416"/>
    <cellStyle name="Контрольная ячейка 2 4" xfId="417"/>
    <cellStyle name="Контрольная ячейка 2 5" xfId="418"/>
    <cellStyle name="Контрольная ячейка 2_Электроэнергия" xfId="419"/>
    <cellStyle name="Контрольная ячейка 3" xfId="420"/>
    <cellStyle name="Название 2" xfId="421"/>
    <cellStyle name="Название 2 2" xfId="422"/>
    <cellStyle name="Название 2 2 2" xfId="423"/>
    <cellStyle name="Название 2 3" xfId="424"/>
    <cellStyle name="Название 2 4" xfId="425"/>
    <cellStyle name="Название 2 5" xfId="426"/>
    <cellStyle name="Название 2_Электроэнергия" xfId="427"/>
    <cellStyle name="Название 3" xfId="428"/>
    <cellStyle name="Нейтральный 2" xfId="429"/>
    <cellStyle name="Нейтральный 2 2" xfId="430"/>
    <cellStyle name="Нейтральный 2 2 2" xfId="431"/>
    <cellStyle name="Нейтральный 2 3" xfId="432"/>
    <cellStyle name="Нейтральный 2 4" xfId="433"/>
    <cellStyle name="Нейтральный 2 5" xfId="434"/>
    <cellStyle name="Нейтральный 2_Электроэнергия" xfId="435"/>
    <cellStyle name="Нейтральный 3" xfId="436"/>
    <cellStyle name="Обычный" xfId="0" builtinId="0"/>
    <cellStyle name="Обычный 10" xfId="437"/>
    <cellStyle name="Обычный 10 2" xfId="438"/>
    <cellStyle name="Обычный 10 2 2" xfId="439"/>
    <cellStyle name="Обычный 10 2 2 2" xfId="1082"/>
    <cellStyle name="Обычный 10 2 3" xfId="1083"/>
    <cellStyle name="Обычный 10 3" xfId="440"/>
    <cellStyle name="Обычный 10 3 2" xfId="441"/>
    <cellStyle name="Обычный 10 3 3" xfId="442"/>
    <cellStyle name="Обычный 10 4" xfId="443"/>
    <cellStyle name="Обычный 10 5" xfId="444"/>
    <cellStyle name="Обычный 10 6" xfId="445"/>
    <cellStyle name="Обычный 10 6 2" xfId="1084"/>
    <cellStyle name="Обычный 10 7" xfId="1085"/>
    <cellStyle name="Обычный 10_Август по объектно" xfId="446"/>
    <cellStyle name="Обычный 11" xfId="447"/>
    <cellStyle name="Обычный 11 2" xfId="448"/>
    <cellStyle name="Обычный 11 2 2" xfId="449"/>
    <cellStyle name="Обычный 11 2 2 2" xfId="1086"/>
    <cellStyle name="Обычный 11 2 3" xfId="1087"/>
    <cellStyle name="Обычный 11 3" xfId="450"/>
    <cellStyle name="Обычный 11 3 2" xfId="451"/>
    <cellStyle name="Обычный 11 3 2 2" xfId="1088"/>
    <cellStyle name="Обычный 11 3 3" xfId="1089"/>
    <cellStyle name="Обычный 11 4" xfId="452"/>
    <cellStyle name="Обычный 11 4 2" xfId="453"/>
    <cellStyle name="Обычный 11 4 2 2" xfId="454"/>
    <cellStyle name="Обычный 11 4 3" xfId="455"/>
    <cellStyle name="Обычный 11 5" xfId="456"/>
    <cellStyle name="Обычный 11 6" xfId="457"/>
    <cellStyle name="Обычный 11 7" xfId="458"/>
    <cellStyle name="Обычный 11 7 2" xfId="1090"/>
    <cellStyle name="Обычный 11_Август по объектно" xfId="459"/>
    <cellStyle name="Обычный 12" xfId="460"/>
    <cellStyle name="Обычный 12 2" xfId="461"/>
    <cellStyle name="Обычный 12 2 2" xfId="462"/>
    <cellStyle name="Обычный 12 2 2 2" xfId="1091"/>
    <cellStyle name="Обычный 12 2 3" xfId="1092"/>
    <cellStyle name="Обычный 12 3" xfId="463"/>
    <cellStyle name="Обычный 12 3 2" xfId="464"/>
    <cellStyle name="Обычный 12 3 2 2" xfId="1093"/>
    <cellStyle name="Обычный 12 3 3" xfId="1094"/>
    <cellStyle name="Обычный 12 4" xfId="465"/>
    <cellStyle name="Обычный 12 4 2" xfId="466"/>
    <cellStyle name="Обычный 12 4 2 2" xfId="467"/>
    <cellStyle name="Обычный 12 4 3" xfId="468"/>
    <cellStyle name="Обычный 12 5" xfId="469"/>
    <cellStyle name="Обычный 12 6" xfId="470"/>
    <cellStyle name="Обычный 12 7" xfId="471"/>
    <cellStyle name="Обычный 12 7 2" xfId="1095"/>
    <cellStyle name="Обычный 12_Август по объектно" xfId="472"/>
    <cellStyle name="Обычный 13" xfId="473"/>
    <cellStyle name="Обычный 13 2" xfId="474"/>
    <cellStyle name="Обычный 13 2 2" xfId="475"/>
    <cellStyle name="Обычный 13 3" xfId="476"/>
    <cellStyle name="Обычный 13 3 2" xfId="1096"/>
    <cellStyle name="Обычный 13 4" xfId="1097"/>
    <cellStyle name="Обычный 13_Гидроузел на р.Тышкан" xfId="477"/>
    <cellStyle name="Обычный 14" xfId="478"/>
    <cellStyle name="Обычный 14 2" xfId="479"/>
    <cellStyle name="Обычный 14 3" xfId="480"/>
    <cellStyle name="Обычный 14 4" xfId="481"/>
    <cellStyle name="Обычный 14_Гидроузел на р.Тышкан" xfId="482"/>
    <cellStyle name="Обычный 15" xfId="483"/>
    <cellStyle name="Обычный 15 2" xfId="484"/>
    <cellStyle name="Обычный 15 3" xfId="485"/>
    <cellStyle name="Обычный 15 4" xfId="486"/>
    <cellStyle name="Обычный 15 5" xfId="487"/>
    <cellStyle name="Обычный 16" xfId="488"/>
    <cellStyle name="Обычный 16 2" xfId="489"/>
    <cellStyle name="Обычный 16 2 2" xfId="490"/>
    <cellStyle name="Обычный 16 2 2 2" xfId="1098"/>
    <cellStyle name="Обычный 16 2 3" xfId="1099"/>
    <cellStyle name="Обычный 16 3" xfId="491"/>
    <cellStyle name="Обычный 16 4" xfId="492"/>
    <cellStyle name="Обычный 16 5" xfId="493"/>
    <cellStyle name="Обычный 16_Гидроузел на р.Тышкан" xfId="494"/>
    <cellStyle name="Обычный 17" xfId="495"/>
    <cellStyle name="Обычный 17 2" xfId="496"/>
    <cellStyle name="Обычный 17 2 2" xfId="497"/>
    <cellStyle name="Обычный 17 3" xfId="498"/>
    <cellStyle name="Обычный 17 3 2" xfId="499"/>
    <cellStyle name="Обычный 17 3 2 2" xfId="500"/>
    <cellStyle name="Обычный 17 3 2 2 2" xfId="1100"/>
    <cellStyle name="Обычный 17 3 2 3" xfId="1101"/>
    <cellStyle name="Обычный 17 3 3" xfId="501"/>
    <cellStyle name="Обычный 17 4" xfId="502"/>
    <cellStyle name="Обычный 17 4 2" xfId="503"/>
    <cellStyle name="Обычный 17 4 2 2" xfId="1102"/>
    <cellStyle name="Обычный 17 4 3" xfId="1103"/>
    <cellStyle name="Обычный 17 5" xfId="504"/>
    <cellStyle name="Обычный 17 5 2" xfId="1104"/>
    <cellStyle name="Обычный 18" xfId="505"/>
    <cellStyle name="Обычный 18 2" xfId="506"/>
    <cellStyle name="Обычный 18 2 2" xfId="507"/>
    <cellStyle name="Обычный 18 3" xfId="508"/>
    <cellStyle name="Обычный 18 3 2" xfId="509"/>
    <cellStyle name="Обычный 18 3 3" xfId="510"/>
    <cellStyle name="Обычный 18 4" xfId="511"/>
    <cellStyle name="Обычный 18 5" xfId="512"/>
    <cellStyle name="Обычный 19" xfId="513"/>
    <cellStyle name="Обычный 19 2" xfId="514"/>
    <cellStyle name="Обычный 19 2 2" xfId="515"/>
    <cellStyle name="Обычный 19 3" xfId="516"/>
    <cellStyle name="Обычный 19 3 2" xfId="517"/>
    <cellStyle name="Обычный 19 3 3" xfId="518"/>
    <cellStyle name="Обычный 19 4" xfId="519"/>
    <cellStyle name="Обычный 19 5" xfId="520"/>
    <cellStyle name="Обычный 2" xfId="521"/>
    <cellStyle name="Обычный 2 10" xfId="522"/>
    <cellStyle name="Обычный 2 10 2" xfId="523"/>
    <cellStyle name="Обычный 2 10 2 2" xfId="1105"/>
    <cellStyle name="Обычный 2 10 2 3" xfId="1106"/>
    <cellStyle name="Обычный 2 10 3" xfId="1107"/>
    <cellStyle name="Обычный 2 11" xfId="524"/>
    <cellStyle name="Обычный 2 12" xfId="1108"/>
    <cellStyle name="Обычный 2 2" xfId="525"/>
    <cellStyle name="Обычный 2 2 2" xfId="526"/>
    <cellStyle name="Обычный 2 2 2 2" xfId="527"/>
    <cellStyle name="Обычный 2 2 2 2 2" xfId="528"/>
    <cellStyle name="Обычный 2 2 2 2 2 2" xfId="529"/>
    <cellStyle name="Обычный 2 2 2 2 3" xfId="530"/>
    <cellStyle name="Обычный 2 2 2 3" xfId="531"/>
    <cellStyle name="Обычный 2 2 2 3 2" xfId="1109"/>
    <cellStyle name="Обычный 2 2 2 4" xfId="532"/>
    <cellStyle name="Обычный 2 2 2 5" xfId="1110"/>
    <cellStyle name="Обычный 2 2 2 6" xfId="1111"/>
    <cellStyle name="Обычный 2 2 2 6 2" xfId="1195"/>
    <cellStyle name="Обычный 2 2 2_Гидроузел на р.Тышкан" xfId="533"/>
    <cellStyle name="Обычный 2 2 3" xfId="534"/>
    <cellStyle name="Обычный 2 2 3 2" xfId="535"/>
    <cellStyle name="Обычный 2 2 3 2 2" xfId="536"/>
    <cellStyle name="Обычный 2 2 3 3" xfId="537"/>
    <cellStyle name="Обычный 2 2 4" xfId="538"/>
    <cellStyle name="Обычный 2 2 4 2" xfId="539"/>
    <cellStyle name="Обычный 2 2 4 2 2" xfId="540"/>
    <cellStyle name="Обычный 2 2 4 3" xfId="541"/>
    <cellStyle name="Обычный 2 2 5" xfId="542"/>
    <cellStyle name="Обычный 2 2 5 2" xfId="1112"/>
    <cellStyle name="Обычный 2 2 6" xfId="543"/>
    <cellStyle name="Обычный 2 2 6 2" xfId="544"/>
    <cellStyle name="Обычный 2 2 7" xfId="545"/>
    <cellStyle name="Обычный 2 2 7 2" xfId="546"/>
    <cellStyle name="Обычный 2 2 8" xfId="547"/>
    <cellStyle name="Обычный 2 2 8 2" xfId="1113"/>
    <cellStyle name="Обычный 2 2_4 МСХ 27.07.11 переигровки" xfId="548"/>
    <cellStyle name="Обычный 2 3" xfId="549"/>
    <cellStyle name="Обычный 2 3 2" xfId="550"/>
    <cellStyle name="Обычный 2 3 3" xfId="551"/>
    <cellStyle name="Обычный 2 3 3 2" xfId="1114"/>
    <cellStyle name="Обычный 2 3 4" xfId="552"/>
    <cellStyle name="Обычный 2 3 4 2" xfId="553"/>
    <cellStyle name="Обычный 2 3 4 2 2" xfId="1115"/>
    <cellStyle name="Обычный 2 3 4 3" xfId="1116"/>
    <cellStyle name="Обычный 2 3 5" xfId="554"/>
    <cellStyle name="Обычный 2 3 6" xfId="1117"/>
    <cellStyle name="Обычный 2 3_Гидроузел на р.Тышкан" xfId="555"/>
    <cellStyle name="Обычный 2 4" xfId="556"/>
    <cellStyle name="Обычный 2 4 2" xfId="557"/>
    <cellStyle name="Обычный 2 4 2 2" xfId="558"/>
    <cellStyle name="Обычный 2 4 2 2 2" xfId="559"/>
    <cellStyle name="Обычный 2 4 2 3" xfId="560"/>
    <cellStyle name="Обычный 2 4 3" xfId="561"/>
    <cellStyle name="Обычный 2 4 4" xfId="562"/>
    <cellStyle name="Обычный 2 4 5" xfId="563"/>
    <cellStyle name="Обычный 2 4 5 2" xfId="1118"/>
    <cellStyle name="Обычный 2 4 6" xfId="564"/>
    <cellStyle name="Обычный 2 5" xfId="565"/>
    <cellStyle name="Обычный 2 5 2" xfId="566"/>
    <cellStyle name="Обычный 2 5 2 2" xfId="567"/>
    <cellStyle name="Обычный 2 5 2 2 2" xfId="1119"/>
    <cellStyle name="Обычный 2 5 2 3" xfId="1120"/>
    <cellStyle name="Обычный 2 5 3" xfId="568"/>
    <cellStyle name="Обычный 2 5 4" xfId="1121"/>
    <cellStyle name="Обычный 2 6" xfId="569"/>
    <cellStyle name="Обычный 2 6 2" xfId="570"/>
    <cellStyle name="Обычный 2 6 3" xfId="571"/>
    <cellStyle name="Обычный 2 6 3 2" xfId="572"/>
    <cellStyle name="Обычный 2 6 4" xfId="573"/>
    <cellStyle name="Обычный 2 6 5" xfId="574"/>
    <cellStyle name="Обычный 2 7" xfId="575"/>
    <cellStyle name="Обычный 2 7 2" xfId="576"/>
    <cellStyle name="Обычный 2 7 3" xfId="577"/>
    <cellStyle name="Обычный 2 7 3 2" xfId="1122"/>
    <cellStyle name="Обычный 2 8" xfId="578"/>
    <cellStyle name="Обычный 2 8 2" xfId="579"/>
    <cellStyle name="Обычный 2 8 3" xfId="580"/>
    <cellStyle name="Обычный 2 9" xfId="581"/>
    <cellStyle name="Обычный 2 9 2" xfId="582"/>
    <cellStyle name="Обычный 2 9 2 2" xfId="1123"/>
    <cellStyle name="Обычный 2 9 2 3" xfId="1124"/>
    <cellStyle name="Обычный 2 9 3" xfId="1125"/>
    <cellStyle name="Обычный 2_16 МСХ 13.09.11 с проблемными" xfId="583"/>
    <cellStyle name="Обычный 20" xfId="584"/>
    <cellStyle name="Обычный 20 2" xfId="585"/>
    <cellStyle name="Обычный 20 3" xfId="586"/>
    <cellStyle name="Обычный 20 3 2" xfId="587"/>
    <cellStyle name="Обычный 20 3 3" xfId="588"/>
    <cellStyle name="Обычный 20 4" xfId="589"/>
    <cellStyle name="Обычный 20 5" xfId="590"/>
    <cellStyle name="Обычный 21" xfId="591"/>
    <cellStyle name="Обычный 21 2" xfId="592"/>
    <cellStyle name="Обычный 21 2 2" xfId="593"/>
    <cellStyle name="Обычный 21 3" xfId="594"/>
    <cellStyle name="Обычный 21 3 2" xfId="595"/>
    <cellStyle name="Обычный 21 3 3" xfId="596"/>
    <cellStyle name="Обычный 21 4" xfId="597"/>
    <cellStyle name="Обычный 22" xfId="598"/>
    <cellStyle name="Обычный 22 2" xfId="599"/>
    <cellStyle name="Обычный 22 3" xfId="600"/>
    <cellStyle name="Обычный 22 3 2" xfId="601"/>
    <cellStyle name="Обычный 22 3 2 2" xfId="602"/>
    <cellStyle name="Обычный 22 3 3" xfId="603"/>
    <cellStyle name="Обычный 22 4" xfId="604"/>
    <cellStyle name="Обычный 22 4 2" xfId="1126"/>
    <cellStyle name="Обычный 23" xfId="605"/>
    <cellStyle name="Обычный 23 2" xfId="606"/>
    <cellStyle name="Обычный 23 2 2" xfId="607"/>
    <cellStyle name="Обычный 23 2 2 2" xfId="608"/>
    <cellStyle name="Обычный 23 2 2 2 2" xfId="1127"/>
    <cellStyle name="Обычный 23 2 2 3" xfId="609"/>
    <cellStyle name="Обычный 23 2 2 3 2" xfId="610"/>
    <cellStyle name="Обычный 23 2 2 3 2 2" xfId="1128"/>
    <cellStyle name="Обычный 23 2 2 3 3" xfId="1129"/>
    <cellStyle name="Обычный 23 2 2 4" xfId="1130"/>
    <cellStyle name="Обычный 23 2 3" xfId="1131"/>
    <cellStyle name="Обычный 23 2_План финансирования на 2013 год" xfId="611"/>
    <cellStyle name="Обычный 23 3" xfId="612"/>
    <cellStyle name="Обычный 23 4" xfId="613"/>
    <cellStyle name="Обычный 23 4 2" xfId="614"/>
    <cellStyle name="Обычный 23 4 2 2" xfId="615"/>
    <cellStyle name="Обычный 23 4 2 2 2" xfId="1132"/>
    <cellStyle name="Обычный 23 4 2 3" xfId="1133"/>
    <cellStyle name="Обычный 23 4 3" xfId="616"/>
    <cellStyle name="Обычный 23 5" xfId="617"/>
    <cellStyle name="Обычный 23 6" xfId="618"/>
    <cellStyle name="Обычный 23 7" xfId="619"/>
    <cellStyle name="Обычный 23 8" xfId="620"/>
    <cellStyle name="Обычный 23_админ.расходы" xfId="621"/>
    <cellStyle name="Обычный 24" xfId="622"/>
    <cellStyle name="Обычный 24 2" xfId="623"/>
    <cellStyle name="Обычный 24 2 2" xfId="624"/>
    <cellStyle name="Обычный 24 2 2 2" xfId="1134"/>
    <cellStyle name="Обычный 24 2 3" xfId="1135"/>
    <cellStyle name="Обычный 24 3" xfId="625"/>
    <cellStyle name="Обычный 24 3 2" xfId="626"/>
    <cellStyle name="Обычный 24 4" xfId="627"/>
    <cellStyle name="Обычный 24 5" xfId="628"/>
    <cellStyle name="Обычный 24 5 2" xfId="1136"/>
    <cellStyle name="Обычный 24_админ.расходы" xfId="629"/>
    <cellStyle name="Обычный 25" xfId="630"/>
    <cellStyle name="Обычный 25 2" xfId="631"/>
    <cellStyle name="Обычный 25 2 2" xfId="632"/>
    <cellStyle name="Обычный 25 3" xfId="633"/>
    <cellStyle name="Обычный 25 3 2" xfId="634"/>
    <cellStyle name="Обычный 25 3 2 2" xfId="1137"/>
    <cellStyle name="Обычный 25 3 3" xfId="635"/>
    <cellStyle name="Обычный 26" xfId="636"/>
    <cellStyle name="Обычный 26 2" xfId="637"/>
    <cellStyle name="Обычный 26 2 2" xfId="638"/>
    <cellStyle name="Обычный 26 2 3" xfId="639"/>
    <cellStyle name="Обычный 26 3" xfId="640"/>
    <cellStyle name="Обычный 26 4" xfId="641"/>
    <cellStyle name="Обычный 27" xfId="642"/>
    <cellStyle name="Обычный 27 2" xfId="643"/>
    <cellStyle name="Обычный 27 2 2" xfId="644"/>
    <cellStyle name="Обычный 27 3" xfId="645"/>
    <cellStyle name="Обычный 28" xfId="646"/>
    <cellStyle name="Обычный 29" xfId="647"/>
    <cellStyle name="Обычный 29 2" xfId="648"/>
    <cellStyle name="Обычный 29 2 2" xfId="649"/>
    <cellStyle name="Обычный 29 3" xfId="650"/>
    <cellStyle name="Обычный 29 4" xfId="651"/>
    <cellStyle name="Обычный 3" xfId="652"/>
    <cellStyle name="Обычный 3 10" xfId="653"/>
    <cellStyle name="Обычный 3 11" xfId="654"/>
    <cellStyle name="Обычный 3 12" xfId="655"/>
    <cellStyle name="Обычный 3 13" xfId="656"/>
    <cellStyle name="Обычный 3 2" xfId="657"/>
    <cellStyle name="Обычный 3 2 2" xfId="658"/>
    <cellStyle name="Обычный 3 2 2 2" xfId="659"/>
    <cellStyle name="Обычный 3 2 2 2 2" xfId="660"/>
    <cellStyle name="Обычный 3 2 2 3" xfId="661"/>
    <cellStyle name="Обычный 3 2 3" xfId="662"/>
    <cellStyle name="Обычный 3 2 3 2" xfId="663"/>
    <cellStyle name="Обычный 3 2 3 2 2" xfId="1138"/>
    <cellStyle name="Обычный 3 2 3 3" xfId="1139"/>
    <cellStyle name="Обычный 3 2 4" xfId="664"/>
    <cellStyle name="Обычный 3 2 4 2" xfId="1140"/>
    <cellStyle name="Обычный 3 2 5" xfId="665"/>
    <cellStyle name="Обычный 3 2 5 2" xfId="666"/>
    <cellStyle name="Обычный 3 2 6" xfId="667"/>
    <cellStyle name="Обычный 3 2_Каратальская плотина" xfId="668"/>
    <cellStyle name="Обычный 3 3" xfId="669"/>
    <cellStyle name="Обычный 3 3 2" xfId="670"/>
    <cellStyle name="Обычный 3 3 3" xfId="671"/>
    <cellStyle name="Обычный 3 4" xfId="672"/>
    <cellStyle name="Обычный 3 4 2" xfId="673"/>
    <cellStyle name="Обычный 3 5" xfId="674"/>
    <cellStyle name="Обычный 3 6" xfId="675"/>
    <cellStyle name="Обычный 3 7" xfId="676"/>
    <cellStyle name="Обычный 3 8" xfId="677"/>
    <cellStyle name="Обычный 3 9" xfId="678"/>
    <cellStyle name="Обычный 3 9 2" xfId="679"/>
    <cellStyle name="Обычный 3 9 3" xfId="680"/>
    <cellStyle name="Обычный 3_Гидроузел на р.Тышкан" xfId="681"/>
    <cellStyle name="Обычный 30" xfId="682"/>
    <cellStyle name="Обычный 31" xfId="683"/>
    <cellStyle name="Обычный 32" xfId="684"/>
    <cellStyle name="Обычный 32 2" xfId="685"/>
    <cellStyle name="Обычный 33" xfId="686"/>
    <cellStyle name="Обычный 33 2" xfId="687"/>
    <cellStyle name="Обычный 33 3" xfId="688"/>
    <cellStyle name="Обычный 34" xfId="689"/>
    <cellStyle name="Обычный 34 2" xfId="690"/>
    <cellStyle name="Обычный 34 3" xfId="691"/>
    <cellStyle name="Обычный 34_План финансирования на 2013 год" xfId="692"/>
    <cellStyle name="Обычный 35" xfId="693"/>
    <cellStyle name="Обычный 35 2" xfId="694"/>
    <cellStyle name="Обычный 35 3" xfId="695"/>
    <cellStyle name="Обычный 36" xfId="696"/>
    <cellStyle name="Обычный 37" xfId="697"/>
    <cellStyle name="Обычный 38" xfId="698"/>
    <cellStyle name="Обычный 39" xfId="699"/>
    <cellStyle name="Обычный 4" xfId="700"/>
    <cellStyle name="Обычный 4 2" xfId="701"/>
    <cellStyle name="Обычный 4 3" xfId="702"/>
    <cellStyle name="Обычный 4 3 2" xfId="703"/>
    <cellStyle name="Обычный 4 3 2 2" xfId="704"/>
    <cellStyle name="Обычный 4 3 3" xfId="705"/>
    <cellStyle name="Обычный 4 4" xfId="706"/>
    <cellStyle name="Обычный 4 4 2" xfId="707"/>
    <cellStyle name="Обычный 4 5" xfId="708"/>
    <cellStyle name="Обычный 4 5 2" xfId="709"/>
    <cellStyle name="Обычный 4 6" xfId="710"/>
    <cellStyle name="Обычный 4_админ.расходы" xfId="711"/>
    <cellStyle name="Обычный 40" xfId="712"/>
    <cellStyle name="Обычный 41" xfId="713"/>
    <cellStyle name="Обычный 42" xfId="714"/>
    <cellStyle name="Обычный 43" xfId="715"/>
    <cellStyle name="Обычный 44" xfId="716"/>
    <cellStyle name="Обычный 45" xfId="717"/>
    <cellStyle name="Обычный 46" xfId="718"/>
    <cellStyle name="Обычный 47" xfId="719"/>
    <cellStyle name="Обычный 47 2" xfId="720"/>
    <cellStyle name="Обычный 47 3" xfId="721"/>
    <cellStyle name="Обычный 47 4" xfId="722"/>
    <cellStyle name="Обычный 48" xfId="723"/>
    <cellStyle name="Обычный 49" xfId="724"/>
    <cellStyle name="Обычный 49 2" xfId="725"/>
    <cellStyle name="Обычный 5" xfId="726"/>
    <cellStyle name="Обычный 5 2" xfId="1"/>
    <cellStyle name="Обычный 5 2 2" xfId="727"/>
    <cellStyle name="Обычный 5 2 2 2" xfId="728"/>
    <cellStyle name="Обычный 5 2 3" xfId="729"/>
    <cellStyle name="Обычный 5 3" xfId="730"/>
    <cellStyle name="Обычный 5 4" xfId="731"/>
    <cellStyle name="Обычный 5 5" xfId="732"/>
    <cellStyle name="Обычный 5_Гидроузел на р.Тышкан" xfId="733"/>
    <cellStyle name="Обычный 50" xfId="734"/>
    <cellStyle name="Обычный 50 2" xfId="735"/>
    <cellStyle name="Обычный 51" xfId="736"/>
    <cellStyle name="Обычный 52" xfId="737"/>
    <cellStyle name="Обычный 53" xfId="738"/>
    <cellStyle name="Обычный 54" xfId="739"/>
    <cellStyle name="Обычный 55" xfId="740"/>
    <cellStyle name="Обычный 56" xfId="741"/>
    <cellStyle name="Обычный 57" xfId="742"/>
    <cellStyle name="Обычный 57 2" xfId="743"/>
    <cellStyle name="Обычный 57 2 2" xfId="744"/>
    <cellStyle name="Обычный 57 2 2 2" xfId="1141"/>
    <cellStyle name="Обычный 57 2 3" xfId="745"/>
    <cellStyle name="Обычный 57 2 3 2" xfId="1142"/>
    <cellStyle name="Обычный 57 2 4" xfId="746"/>
    <cellStyle name="Обычный 57 2 4 2" xfId="1143"/>
    <cellStyle name="Обычный 57 2 4 3" xfId="1144"/>
    <cellStyle name="Обычный 57 2 4 4" xfId="1145"/>
    <cellStyle name="Обычный 57 2 5" xfId="747"/>
    <cellStyle name="Обычный 57 2 5 2" xfId="1146"/>
    <cellStyle name="Обычный 57 2 5 3" xfId="1196"/>
    <cellStyle name="Обычный 57 2 6" xfId="1147"/>
    <cellStyle name="Обычный 57 3" xfId="1148"/>
    <cellStyle name="Обычный 58" xfId="748"/>
    <cellStyle name="Обычный 58 2" xfId="749"/>
    <cellStyle name="Обычный 58 2 2" xfId="1149"/>
    <cellStyle name="Обычный 58 3" xfId="1150"/>
    <cellStyle name="Обычный 59" xfId="750"/>
    <cellStyle name="Обычный 59 2" xfId="751"/>
    <cellStyle name="Обычный 59 2 2" xfId="1151"/>
    <cellStyle name="Обычный 59 3" xfId="1152"/>
    <cellStyle name="Обычный 6" xfId="752"/>
    <cellStyle name="Обычный 6 2" xfId="753"/>
    <cellStyle name="Обычный 6 2 2" xfId="754"/>
    <cellStyle name="Обычный 6 2 2 2" xfId="755"/>
    <cellStyle name="Обычный 6 2 3" xfId="756"/>
    <cellStyle name="Обычный 6 3" xfId="757"/>
    <cellStyle name="Обычный 6 4" xfId="758"/>
    <cellStyle name="Обычный 6 5" xfId="759"/>
    <cellStyle name="Обычный 6_Гидроузел на р.Тышкан" xfId="760"/>
    <cellStyle name="Обычный 60" xfId="761"/>
    <cellStyle name="Обычный 61" xfId="762"/>
    <cellStyle name="Обычный 61 2" xfId="763"/>
    <cellStyle name="Обычный 61 2 2" xfId="1153"/>
    <cellStyle name="Обычный 61 3" xfId="1154"/>
    <cellStyle name="Обычный 62" xfId="764"/>
    <cellStyle name="Обычный 62 2" xfId="1155"/>
    <cellStyle name="Обычный 63" xfId="765"/>
    <cellStyle name="Обычный 64" xfId="766"/>
    <cellStyle name="Обычный 64 2" xfId="1156"/>
    <cellStyle name="Обычный 65" xfId="767"/>
    <cellStyle name="Обычный 65 2" xfId="1157"/>
    <cellStyle name="Обычный 66" xfId="768"/>
    <cellStyle name="Обычный 66 2" xfId="1158"/>
    <cellStyle name="Обычный 67" xfId="769"/>
    <cellStyle name="Обычный 67 2" xfId="1159"/>
    <cellStyle name="Обычный 68" xfId="770"/>
    <cellStyle name="Обычный 68 2" xfId="1160"/>
    <cellStyle name="Обычный 69" xfId="771"/>
    <cellStyle name="Обычный 69 2" xfId="772"/>
    <cellStyle name="Обычный 69 2 2" xfId="1161"/>
    <cellStyle name="Обычный 69 3" xfId="1162"/>
    <cellStyle name="Обычный 7" xfId="773"/>
    <cellStyle name="Обычный 7 2" xfId="774"/>
    <cellStyle name="Обычный 7 2 2" xfId="775"/>
    <cellStyle name="Обычный 7 2 2 2" xfId="776"/>
    <cellStyle name="Обычный 7 2 3" xfId="777"/>
    <cellStyle name="Обычный 7 3" xfId="778"/>
    <cellStyle name="Обычный 7 4" xfId="779"/>
    <cellStyle name="Обычный 7 5" xfId="780"/>
    <cellStyle name="Обычный 7 6" xfId="781"/>
    <cellStyle name="Обычный 7 7" xfId="782"/>
    <cellStyle name="Обычный 7_Гидроузел на р.Тышкан" xfId="783"/>
    <cellStyle name="Обычный 70" xfId="784"/>
    <cellStyle name="Обычный 70 2" xfId="785"/>
    <cellStyle name="Обычный 70 2 2" xfId="786"/>
    <cellStyle name="Обычный 70 2 2 2" xfId="1163"/>
    <cellStyle name="Обычный 70 2 3" xfId="1164"/>
    <cellStyle name="Обычный 70 3" xfId="1165"/>
    <cellStyle name="Обычный 71" xfId="787"/>
    <cellStyle name="Обычный 71 2" xfId="1166"/>
    <cellStyle name="Обычный 71 3" xfId="1167"/>
    <cellStyle name="Обычный 71 4" xfId="1168"/>
    <cellStyle name="Обычный 72" xfId="788"/>
    <cellStyle name="Обычный 72 2" xfId="1169"/>
    <cellStyle name="Обычный 73" xfId="1170"/>
    <cellStyle name="Обычный 73 2" xfId="1171"/>
    <cellStyle name="Обычный 74" xfId="1172"/>
    <cellStyle name="Обычный 75" xfId="1173"/>
    <cellStyle name="Обычный 76" xfId="1174"/>
    <cellStyle name="Обычный 76 2" xfId="1175"/>
    <cellStyle name="Обычный 76 2 2" xfId="1197"/>
    <cellStyle name="Обычный 77" xfId="1176"/>
    <cellStyle name="Обычный 78" xfId="1177"/>
    <cellStyle name="Обычный 79" xfId="1178"/>
    <cellStyle name="Обычный 8" xfId="789"/>
    <cellStyle name="Обычный 8 2" xfId="790"/>
    <cellStyle name="Обычный 8 2 2" xfId="791"/>
    <cellStyle name="Обычный 8 2 2 2" xfId="792"/>
    <cellStyle name="Обычный 8 2 3" xfId="793"/>
    <cellStyle name="Обычный 8 3" xfId="794"/>
    <cellStyle name="Обычный 8 4" xfId="795"/>
    <cellStyle name="Обычный 8 5" xfId="796"/>
    <cellStyle name="Обычный 8_Гидроузел на р.Тышкан" xfId="797"/>
    <cellStyle name="Обычный 80" xfId="1179"/>
    <cellStyle name="Обычный 81" xfId="1180"/>
    <cellStyle name="Обычный 81 2" xfId="1198"/>
    <cellStyle name="Обычный 82" xfId="1181"/>
    <cellStyle name="Обычный 83" xfId="1199"/>
    <cellStyle name="Обычный 84" xfId="1200"/>
    <cellStyle name="Обычный 84 2" xfId="1201"/>
    <cellStyle name="Обычный 85" xfId="1202"/>
    <cellStyle name="Обычный 9" xfId="798"/>
    <cellStyle name="Обычный 9 2" xfId="799"/>
    <cellStyle name="Обычный 9 2 2" xfId="800"/>
    <cellStyle name="Обычный 9 2 2 2" xfId="801"/>
    <cellStyle name="Обычный 9 2 3" xfId="802"/>
    <cellStyle name="Обычный 9 3" xfId="803"/>
    <cellStyle name="Обычный 9 4" xfId="804"/>
    <cellStyle name="Обычный 9 8" xfId="805"/>
    <cellStyle name="Обычный 9 9" xfId="806"/>
    <cellStyle name="Обычный 9_Каратальская плотина" xfId="807"/>
    <cellStyle name="Обычный_Лист1" xfId="2"/>
    <cellStyle name="Отличный" xfId="808"/>
    <cellStyle name="Отличный 2" xfId="809"/>
    <cellStyle name="Отличный 2 2" xfId="810"/>
    <cellStyle name="Отличный 2 2 2" xfId="811"/>
    <cellStyle name="Отличный 2 2 2 2" xfId="1203"/>
    <cellStyle name="Отличный 2 2 3" xfId="812"/>
    <cellStyle name="Отличный 2 2 3 2" xfId="1204"/>
    <cellStyle name="Отличный 2 2 4" xfId="1205"/>
    <cellStyle name="Отличный 2 3" xfId="813"/>
    <cellStyle name="Отличный 2 3 2" xfId="1206"/>
    <cellStyle name="Отличный 2 4" xfId="814"/>
    <cellStyle name="Отличный 2 4 2" xfId="1207"/>
    <cellStyle name="Отличный 2 5" xfId="1208"/>
    <cellStyle name="Отличный 3" xfId="815"/>
    <cellStyle name="Отличный 3 2" xfId="816"/>
    <cellStyle name="Отличный 3 2 2" xfId="1209"/>
    <cellStyle name="Отличный 3 3" xfId="817"/>
    <cellStyle name="Отличный 3 3 2" xfId="1210"/>
    <cellStyle name="Отличный 3 4" xfId="1211"/>
    <cellStyle name="Отличный 4" xfId="818"/>
    <cellStyle name="Отличный 4 2" xfId="1212"/>
    <cellStyle name="Отличный 5" xfId="819"/>
    <cellStyle name="Отличный 5 2" xfId="1213"/>
    <cellStyle name="Отличный 6" xfId="1214"/>
    <cellStyle name="Плохой 2" xfId="820"/>
    <cellStyle name="Плохой 2 2" xfId="821"/>
    <cellStyle name="Плохой 2 2 2" xfId="822"/>
    <cellStyle name="Плохой 2 3" xfId="823"/>
    <cellStyle name="Плохой 2 4" xfId="824"/>
    <cellStyle name="Плохой 2 5" xfId="825"/>
    <cellStyle name="Плохой 2_Электроэнергия" xfId="826"/>
    <cellStyle name="Плохой 3" xfId="827"/>
    <cellStyle name="Пояснение 2" xfId="828"/>
    <cellStyle name="Пояснение 2 2" xfId="829"/>
    <cellStyle name="Пояснение 2 2 2" xfId="830"/>
    <cellStyle name="Пояснение 2 3" xfId="831"/>
    <cellStyle name="Пояснение 2 4" xfId="832"/>
    <cellStyle name="Пояснение 2 5" xfId="833"/>
    <cellStyle name="Пояснение 2_Электроэнергия" xfId="834"/>
    <cellStyle name="Пояснение 3" xfId="835"/>
    <cellStyle name="Примечание 2" xfId="836"/>
    <cellStyle name="Примечание 2 2" xfId="837"/>
    <cellStyle name="Примечание 2 2 2" xfId="838"/>
    <cellStyle name="Примечание 2 2 3" xfId="839"/>
    <cellStyle name="Примечание 2 3" xfId="840"/>
    <cellStyle name="Примечание 2 4" xfId="841"/>
    <cellStyle name="Примечание 2 5" xfId="842"/>
    <cellStyle name="Примечание 2 6" xfId="843"/>
    <cellStyle name="Примечание 3" xfId="844"/>
    <cellStyle name="Примечание 3 2" xfId="845"/>
    <cellStyle name="Примечание 3 2 2" xfId="846"/>
    <cellStyle name="Примечание 3 2 2 2" xfId="847"/>
    <cellStyle name="Примечание 3 2 3" xfId="848"/>
    <cellStyle name="Примечание 3 3" xfId="849"/>
    <cellStyle name="Примечание 3 3 2" xfId="850"/>
    <cellStyle name="Примечание 3 4" xfId="851"/>
    <cellStyle name="Примечание 4" xfId="852"/>
    <cellStyle name="Примечание 4 2" xfId="853"/>
    <cellStyle name="Примечание 4 3" xfId="854"/>
    <cellStyle name="Примечание 5" xfId="855"/>
    <cellStyle name="Примечание 6" xfId="856"/>
    <cellStyle name="Процентный" xfId="1216" builtinId="5"/>
    <cellStyle name="Процентный 2" xfId="857"/>
    <cellStyle name="Процентный 2 2" xfId="858"/>
    <cellStyle name="Процентный 2 2 2" xfId="859"/>
    <cellStyle name="Процентный 2 2 3" xfId="860"/>
    <cellStyle name="Процентный 2 3" xfId="861"/>
    <cellStyle name="Процентный 2 3 2" xfId="862"/>
    <cellStyle name="Процентный 2 3 2 2" xfId="1182"/>
    <cellStyle name="Процентный 2 3 3" xfId="1183"/>
    <cellStyle name="Процентный 2 4" xfId="863"/>
    <cellStyle name="Процентный 2 4 2" xfId="1184"/>
    <cellStyle name="Процентный 2 5" xfId="864"/>
    <cellStyle name="Процентный 3" xfId="865"/>
    <cellStyle name="Процентный 3 2" xfId="866"/>
    <cellStyle name="Процентный 3 2 2" xfId="867"/>
    <cellStyle name="Процентный 3 2 2 2" xfId="868"/>
    <cellStyle name="Процентный 3 2 3" xfId="869"/>
    <cellStyle name="Процентный 3 2 4" xfId="870"/>
    <cellStyle name="Процентный 3 3" xfId="871"/>
    <cellStyle name="Процентный 3 3 2" xfId="872"/>
    <cellStyle name="Процентный 3 3 2 2" xfId="1185"/>
    <cellStyle name="Процентный 3 3 3" xfId="1186"/>
    <cellStyle name="Процентный 3 4" xfId="873"/>
    <cellStyle name="Процентный 3 4 2" xfId="874"/>
    <cellStyle name="Процентный 3 5" xfId="875"/>
    <cellStyle name="Процентный 3 5 2" xfId="876"/>
    <cellStyle name="Процентный 3 5 2 2" xfId="877"/>
    <cellStyle name="Процентный 3 5 3" xfId="878"/>
    <cellStyle name="Процентный 3 5 3 2" xfId="1187"/>
    <cellStyle name="Процентный 4" xfId="879"/>
    <cellStyle name="Процентный 4 2" xfId="880"/>
    <cellStyle name="Процентный 4 2 2" xfId="1188"/>
    <cellStyle name="Процентный 4 3" xfId="881"/>
    <cellStyle name="Процентный 5" xfId="882"/>
    <cellStyle name="Процентный 5 2" xfId="883"/>
    <cellStyle name="Процентный 5 2 2" xfId="884"/>
    <cellStyle name="Процентный 5 2 2 2" xfId="885"/>
    <cellStyle name="Процентный 6" xfId="886"/>
    <cellStyle name="Процентный 7" xfId="1189"/>
    <cellStyle name="Связанная ячейка 2" xfId="887"/>
    <cellStyle name="Связанная ячейка 2 2" xfId="888"/>
    <cellStyle name="Связанная ячейка 2 2 2" xfId="889"/>
    <cellStyle name="Связанная ячейка 2 3" xfId="890"/>
    <cellStyle name="Связанная ячейка 2 4" xfId="891"/>
    <cellStyle name="Связанная ячейка 2 5" xfId="892"/>
    <cellStyle name="Связанная ячейка 2_Электроэнергия" xfId="893"/>
    <cellStyle name="Связанная ячейка 3" xfId="894"/>
    <cellStyle name="Стиль 1" xfId="895"/>
    <cellStyle name="Стиль 1 2" xfId="896"/>
    <cellStyle name="Стиль 1 2 2" xfId="897"/>
    <cellStyle name="Стиль 1 2 3" xfId="898"/>
    <cellStyle name="Стиль 1 3" xfId="899"/>
    <cellStyle name="Стиль 1 3 2" xfId="900"/>
    <cellStyle name="Стиль 1 3 2 2" xfId="901"/>
    <cellStyle name="Стиль 1 3 3" xfId="902"/>
    <cellStyle name="Стиль 1 4" xfId="903"/>
    <cellStyle name="Стиль 1 5" xfId="904"/>
    <cellStyle name="Стиль 1 6" xfId="905"/>
    <cellStyle name="Стиль 1_16 МСХ 13.09.11 с проблемными" xfId="906"/>
    <cellStyle name="Супер" xfId="907"/>
    <cellStyle name="Текст предупреждения 2" xfId="908"/>
    <cellStyle name="Текст предупреждения 2 2" xfId="909"/>
    <cellStyle name="Текст предупреждения 2 2 2" xfId="910"/>
    <cellStyle name="Текст предупреждения 2 3" xfId="911"/>
    <cellStyle name="Текст предупреждения 2 4" xfId="912"/>
    <cellStyle name="Текст предупреждения 2 5" xfId="913"/>
    <cellStyle name="Текст предупреждения 2_Электроэнергия" xfId="914"/>
    <cellStyle name="Текст предупреждения 3" xfId="915"/>
    <cellStyle name="Финансовый 2" xfId="916"/>
    <cellStyle name="Финансовый 2 2" xfId="917"/>
    <cellStyle name="Финансовый 2 2 2" xfId="918"/>
    <cellStyle name="Финансовый 2 2 2 2" xfId="1190"/>
    <cellStyle name="Финансовый 2 2 3" xfId="1191"/>
    <cellStyle name="Финансовый 2 2 4" xfId="1215"/>
    <cellStyle name="Финансовый 2 3" xfId="919"/>
    <cellStyle name="Финансовый 2 3 2" xfId="920"/>
    <cellStyle name="Финансовый 2 3 2 2" xfId="921"/>
    <cellStyle name="Финансовый 2 3 3" xfId="922"/>
    <cellStyle name="Финансовый 2 3 3 2" xfId="1192"/>
    <cellStyle name="Финансовый 2 3 4" xfId="923"/>
    <cellStyle name="Финансовый 2 3 4 2" xfId="1193"/>
    <cellStyle name="Финансовый 2 4" xfId="924"/>
    <cellStyle name="Финансовый 2 5" xfId="925"/>
    <cellStyle name="Финансовый 3" xfId="926"/>
    <cellStyle name="Финансовый 3 2" xfId="927"/>
    <cellStyle name="Финансовый 4" xfId="928"/>
    <cellStyle name="Финансовый 4 2" xfId="1194"/>
    <cellStyle name="Финансовый 5" xfId="939"/>
    <cellStyle name="Хороший 2" xfId="929"/>
    <cellStyle name="Хороший 2 2" xfId="930"/>
    <cellStyle name="Хороший 2 2 2" xfId="931"/>
    <cellStyle name="Хороший 2 3" xfId="932"/>
    <cellStyle name="Хороший 2 4" xfId="933"/>
    <cellStyle name="Хороший 2 5" xfId="934"/>
    <cellStyle name="Хороший 2_Электроэнергия" xfId="935"/>
    <cellStyle name="Хороший 3" xfId="936"/>
    <cellStyle name="Хороший 3 2" xfId="937"/>
    <cellStyle name="Хороший 4" xfId="938"/>
  </cellStyles>
  <dxfs count="0"/>
  <tableStyles count="0" defaultTableStyle="TableStyleMedium9" defaultPivotStyle="PivotStyleLight16"/>
  <colors>
    <mruColors>
      <color rgb="FFFFCCFF"/>
      <color rgb="FFCCFFFF"/>
      <color rgb="FF99FFCC"/>
      <color rgb="FFFF7C8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2;&#1085;&#1092;&#1080;&#1083;&#1086;&#1074;%20&#1055;&#1059;/&#1048;&#1058;&#1057;%20&#1079;&#1072;%20&#1103;&#1085;&#1074;&#1072;&#1088;&#1100;-&#1092;&#1077;&#1074;&#1088;&#1072;&#1083;&#1100;%202017%20&#1075;&#1086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6;&#1072;&#1079;&#1080;&#1088;&#1072;/AppData/Roaming/Microsoft/Excel/&#1050;&#1072;&#1088;&#1072;&#1090;&#1072;&#1083;%20&#1082;&#1086;&#1088;&#1088;-&#1082;&#1072;%202016&#1075;.%20-%20&#1082;&#1086;&#1087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40;&#1047;&#1048;&#1056;&#1040;/&#1054;&#1090;&#1076;&#1077;&#1083;%20&#1087;&#1083;&#1072;&#1085;&#1080;&#1088;&#1086;&#1074;&#1072;&#1085;&#1080;&#1103;%20&#1080;%20&#1090;&#1072;&#1088;&#1080;&#1092;&#1086;&#1086;&#1073;&#1088;&#1072;&#1079;&#1086;&#1074;&#1072;&#1085;&#1080;&#1103;/2015/&#1048;&#1089;&#1087;%20&#1058;&#1057;%20&#1080;%20&#1048;&#1055;%20&#1079;&#1072;%202015%20&#1075;&#1086;&#1076;/&#1048;&#1058;&#1057;-2015/&#1048;&#1058;&#1057;%20&#1087;&#1086;%20&#1040;&#1060;%20-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6;&#1072;&#1079;&#1080;&#1088;&#1072;/AppData/Roaming/Microsoft/Excel/&#1045;&#1089;&#1082;&#1077;&#1083;&#1100;&#1076;&#1080;&#1085;&#1089;&#1082;&#1080;&#1081;%20&#1087;&#1088;&#1086;&#1080;&#1079;&#1074;&#1086;&#1076;&#1089;&#1090;&#1074;&#1077;&#1085;&#1085;&#1099;&#1081;%20&#1091;&#1095;&#1072;&#1089;&#1090;&#1086;&#1082;%202016&#1075;%20%20%20(1)%20(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40;&#1047;&#1048;&#1056;&#1040;/&#1054;&#1090;&#1076;&#1077;&#1083;%20&#1087;&#1083;&#1072;&#1085;&#1080;&#1088;&#1086;&#1074;&#1072;&#1085;&#1080;&#1103;%20&#1080;%20&#1090;&#1072;&#1088;&#1080;&#1092;&#1086;&#1086;&#1073;&#1088;&#1072;&#1079;&#1086;&#1074;&#1072;&#1085;&#1080;&#1103;/2016%20&#1075;&#1086;&#1076;/&#1048;&#1058;&#1057;-2016/&#1050;&#1086;&#1088;&#1088;-&#1082;&#1072;%20&#1058;&#1057;-2016/&#1050;&#1086;&#1088;&#1088;-&#1082;&#1072;%20&#1058;&#1057;%20&#1087;&#1086;%20&#1040;&#1060;%20-%202016%20(04.10.16&#1075;.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С за 2016 г"/>
    </sheetNames>
    <sheetDataSet>
      <sheetData sheetId="0" refreshError="1">
        <row r="30">
          <cell r="H3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ъем оказ услуг"/>
      <sheetName val="По ПУ АФ"/>
      <sheetName val="По ПУ АФ (компенсир.) "/>
      <sheetName val="Объем воды"/>
      <sheetName val="Объем воды (2)"/>
      <sheetName val="Факт ЗП (янв-июль)"/>
      <sheetName val="ЗП (план-факт)"/>
      <sheetName val="Год"/>
      <sheetName val="Панфилов"/>
      <sheetName val="Каратал"/>
      <sheetName val="Каратал (3)"/>
      <sheetName val="Каратал (2)"/>
      <sheetName val="Алмалы,Ащыбулак"/>
      <sheetName val="Акешки"/>
      <sheetName val="Аксу"/>
      <sheetName val="Алаколь---"/>
      <sheetName val="Коксу"/>
      <sheetName val="Ескельды"/>
      <sheetName val="Талдык---"/>
      <sheetName val="Уйгур"/>
      <sheetName val="Анализ 8 мес."/>
    </sheetNames>
    <sheetDataSet>
      <sheetData sheetId="0"/>
      <sheetData sheetId="1"/>
      <sheetData sheetId="2">
        <row r="18">
          <cell r="C18">
            <v>110000</v>
          </cell>
          <cell r="E18">
            <v>19612.020263999999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ПУ АФ"/>
      <sheetName val="Год"/>
      <sheetName val="Панфилов"/>
      <sheetName val="Каратал"/>
      <sheetName val="Акешки"/>
      <sheetName val="Алмалы,Ащыбулак"/>
      <sheetName val="Аксу"/>
      <sheetName val="Алаколь"/>
      <sheetName val="Коксу (0,163)"/>
      <sheetName val="Коксу (0,46)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D13">
            <v>0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"/>
      <sheetName val="Тарифная смета 2016"/>
      <sheetName val="ДУП"/>
      <sheetName val="Ремонт"/>
      <sheetName val="ГСМ"/>
      <sheetName val="Запчасти  "/>
      <sheetName val="Эл.энергия"/>
      <sheetName val="уголь"/>
      <sheetName val="Зарплата"/>
      <sheetName val="Соц налог "/>
      <sheetName val="Соц отчисления "/>
      <sheetName val="Свод-вед. амортиз."/>
      <sheetName val="Вед.амортизации"/>
      <sheetName val="услуги связи"/>
      <sheetName val="Аттест ГП "/>
      <sheetName val="Страховка авто"/>
      <sheetName val="Техосмотр"/>
      <sheetName val="Разъездной "/>
      <sheetName val="АРЕНДА"/>
      <sheetName val="Командировка"/>
      <sheetName val="Расчет на водопольз"/>
      <sheetName val="Имущественный  налог"/>
      <sheetName val="Транспортный налог"/>
      <sheetName val="Аудит"/>
      <sheetName val="Экология1"/>
      <sheetName val="Публикация в СМИ"/>
      <sheetName val="Канц товары"/>
      <sheetName val="Содерж оргтехники "/>
      <sheetName val="Услуги банка"/>
      <sheetName val="возмещение услуг банка "/>
      <sheetName val="Хоз.товары "/>
      <sheetName val="почтовые услуги "/>
      <sheetName val="сотовая связь"/>
      <sheetName val="ТО и ТБ"/>
      <sheetName val="анализ воды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8">
          <cell r="D8">
            <v>124599.455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ъем оказ услуг"/>
      <sheetName val="По ПУ АФ"/>
      <sheetName val="По ПУ АФ (компенсир.) "/>
      <sheetName val="Объем воды"/>
      <sheetName val="Объем воды (2)"/>
      <sheetName val="Факт ЗП (янв-июль)"/>
      <sheetName val="ЗП (план-факт)"/>
      <sheetName val="Год"/>
      <sheetName val="Панфилов"/>
      <sheetName val="Каратал"/>
      <sheetName val="Алмалы,Ащыбулак"/>
      <sheetName val="Акешки"/>
      <sheetName val="Аксу"/>
      <sheetName val="Алаколь---"/>
      <sheetName val="Коксу"/>
      <sheetName val="Ескельды"/>
      <sheetName val="Талдык---"/>
      <sheetName val="Уйгур"/>
      <sheetName val="Анализ 8 мес."/>
    </sheetNames>
    <sheetDataSet>
      <sheetData sheetId="0"/>
      <sheetData sheetId="1"/>
      <sheetData sheetId="2">
        <row r="9">
          <cell r="C9">
            <v>139873.99999999997</v>
          </cell>
        </row>
        <row r="31">
          <cell r="C31">
            <v>40315.100999999995</v>
          </cell>
          <cell r="E31">
            <v>16814.082900000001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3"/>
  <sheetViews>
    <sheetView tabSelected="1" view="pageBreakPreview" zoomScale="90" zoomScaleNormal="84" zoomScaleSheetLayoutView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W80" sqref="W80"/>
    </sheetView>
  </sheetViews>
  <sheetFormatPr defaultColWidth="9.140625" defaultRowHeight="15"/>
  <cols>
    <col min="1" max="1" width="5.85546875" style="274" customWidth="1"/>
    <col min="2" max="2" width="42.28515625" style="275" customWidth="1"/>
    <col min="3" max="3" width="13.85546875" style="274" customWidth="1"/>
    <col min="4" max="4" width="16.85546875" style="276" hidden="1" customWidth="1"/>
    <col min="5" max="5" width="16.85546875" style="277" hidden="1" customWidth="1"/>
    <col min="6" max="6" width="18.7109375" style="276" hidden="1" customWidth="1"/>
    <col min="7" max="8" width="18.7109375" style="277" hidden="1" customWidth="1"/>
    <col min="9" max="9" width="15.140625" style="276" hidden="1" customWidth="1"/>
    <col min="10" max="11" width="9.7109375" style="274" hidden="1" customWidth="1"/>
    <col min="12" max="12" width="9.85546875" style="274" hidden="1" customWidth="1"/>
    <col min="13" max="13" width="15.5703125" style="278" hidden="1" customWidth="1"/>
    <col min="14" max="14" width="10.28515625" style="274" hidden="1" customWidth="1"/>
    <col min="15" max="15" width="10.28515625" style="276" hidden="1" customWidth="1"/>
    <col min="16" max="16" width="10.5703125" style="276" hidden="1" customWidth="1"/>
    <col min="17" max="17" width="13.5703125" style="279" hidden="1" customWidth="1"/>
    <col min="18" max="19" width="10.42578125" style="276" hidden="1" customWidth="1"/>
    <col min="20" max="20" width="11.140625" style="276" hidden="1" customWidth="1"/>
    <col min="21" max="21" width="18.140625" style="276" customWidth="1"/>
    <col min="22" max="22" width="17.140625" style="310" customWidth="1"/>
    <col min="23" max="23" width="14.5703125" style="280" customWidth="1"/>
    <col min="24" max="24" width="15" style="360" customWidth="1"/>
    <col min="25" max="25" width="22.28515625" style="281" customWidth="1"/>
    <col min="26" max="26" width="13.5703125" style="281" customWidth="1"/>
    <col min="27" max="16384" width="9.140625" style="281"/>
  </cols>
  <sheetData>
    <row r="1" spans="1:25" ht="15" customHeight="1">
      <c r="A1" s="432"/>
      <c r="B1" s="433"/>
      <c r="C1" s="432"/>
      <c r="D1" s="434"/>
      <c r="E1" s="435"/>
      <c r="F1" s="434"/>
      <c r="G1" s="435"/>
      <c r="H1" s="435"/>
      <c r="I1" s="434"/>
      <c r="J1" s="432"/>
      <c r="K1" s="432"/>
      <c r="L1" s="432"/>
      <c r="M1" s="436"/>
      <c r="N1" s="432"/>
      <c r="O1" s="434"/>
      <c r="P1" s="434"/>
      <c r="Q1" s="437"/>
      <c r="R1" s="434"/>
      <c r="S1" s="434"/>
      <c r="T1" s="434"/>
      <c r="U1" s="434"/>
      <c r="V1" s="438"/>
      <c r="W1" s="439"/>
      <c r="X1" s="440"/>
      <c r="Y1" s="441"/>
    </row>
    <row r="2" spans="1:25" ht="15" customHeight="1">
      <c r="A2" s="869" t="s">
        <v>572</v>
      </c>
      <c r="B2" s="869"/>
      <c r="C2" s="869"/>
      <c r="D2" s="869"/>
      <c r="E2" s="869"/>
      <c r="F2" s="869"/>
      <c r="G2" s="869"/>
      <c r="H2" s="869"/>
      <c r="I2" s="869"/>
      <c r="J2" s="869"/>
      <c r="K2" s="869"/>
      <c r="L2" s="869"/>
      <c r="M2" s="869"/>
      <c r="N2" s="869"/>
      <c r="O2" s="869"/>
      <c r="P2" s="869"/>
      <c r="Q2" s="869"/>
      <c r="R2" s="869"/>
      <c r="S2" s="869"/>
      <c r="T2" s="869"/>
      <c r="U2" s="869"/>
      <c r="V2" s="869"/>
      <c r="W2" s="869"/>
      <c r="X2" s="869"/>
      <c r="Y2" s="869"/>
    </row>
    <row r="3" spans="1:25" ht="15" customHeight="1">
      <c r="A3" s="869" t="s">
        <v>578</v>
      </c>
      <c r="B3" s="869"/>
      <c r="C3" s="869"/>
      <c r="D3" s="869"/>
      <c r="E3" s="869"/>
      <c r="F3" s="869"/>
      <c r="G3" s="869"/>
      <c r="H3" s="869"/>
      <c r="I3" s="869"/>
      <c r="J3" s="869"/>
      <c r="K3" s="869"/>
      <c r="L3" s="869"/>
      <c r="M3" s="869"/>
      <c r="N3" s="869"/>
      <c r="O3" s="869"/>
      <c r="P3" s="869"/>
      <c r="Q3" s="869"/>
      <c r="R3" s="869"/>
      <c r="S3" s="869"/>
      <c r="T3" s="869"/>
      <c r="U3" s="869"/>
      <c r="V3" s="869"/>
      <c r="W3" s="869"/>
      <c r="X3" s="869"/>
      <c r="Y3" s="869"/>
    </row>
    <row r="4" spans="1:25" ht="15" customHeight="1">
      <c r="A4" s="442"/>
      <c r="B4" s="443"/>
      <c r="C4" s="442"/>
      <c r="D4" s="442"/>
      <c r="E4" s="444"/>
      <c r="F4" s="442"/>
      <c r="G4" s="444"/>
      <c r="H4" s="444"/>
      <c r="I4" s="442"/>
      <c r="J4" s="442"/>
      <c r="K4" s="442"/>
      <c r="L4" s="442"/>
      <c r="M4" s="442"/>
      <c r="N4" s="442"/>
      <c r="O4" s="442"/>
      <c r="P4" s="442"/>
      <c r="Q4" s="443"/>
      <c r="R4" s="442"/>
      <c r="S4" s="442"/>
      <c r="T4" s="442"/>
      <c r="U4" s="442"/>
      <c r="V4" s="445"/>
      <c r="W4" s="439"/>
      <c r="X4" s="440"/>
      <c r="Y4" s="441"/>
    </row>
    <row r="5" spans="1:25" ht="15" customHeight="1">
      <c r="A5" s="872"/>
      <c r="B5" s="872"/>
      <c r="C5" s="872"/>
      <c r="D5" s="872"/>
      <c r="E5" s="872"/>
      <c r="F5" s="872"/>
      <c r="G5" s="872"/>
      <c r="H5" s="872"/>
      <c r="I5" s="872"/>
      <c r="J5" s="872"/>
      <c r="K5" s="872"/>
      <c r="L5" s="872"/>
      <c r="M5" s="872"/>
      <c r="N5" s="432"/>
      <c r="O5" s="434"/>
      <c r="P5" s="434"/>
      <c r="Q5" s="437"/>
      <c r="R5" s="434"/>
      <c r="S5" s="434"/>
      <c r="T5" s="434"/>
      <c r="U5" s="434"/>
      <c r="V5" s="438"/>
      <c r="W5" s="439"/>
      <c r="X5" s="440"/>
      <c r="Y5" s="441"/>
    </row>
    <row r="6" spans="1:25" ht="81" customHeight="1">
      <c r="A6" s="446" t="s">
        <v>0</v>
      </c>
      <c r="B6" s="447" t="s">
        <v>1</v>
      </c>
      <c r="C6" s="446" t="s">
        <v>2</v>
      </c>
      <c r="D6" s="446" t="s">
        <v>443</v>
      </c>
      <c r="E6" s="448" t="s">
        <v>444</v>
      </c>
      <c r="F6" s="446" t="s">
        <v>445</v>
      </c>
      <c r="G6" s="448" t="s">
        <v>446</v>
      </c>
      <c r="H6" s="448" t="s">
        <v>194</v>
      </c>
      <c r="I6" s="446" t="s">
        <v>447</v>
      </c>
      <c r="J6" s="449" t="s">
        <v>448</v>
      </c>
      <c r="K6" s="449" t="s">
        <v>449</v>
      </c>
      <c r="L6" s="449" t="s">
        <v>450</v>
      </c>
      <c r="M6" s="450" t="s">
        <v>451</v>
      </c>
      <c r="N6" s="449" t="s">
        <v>452</v>
      </c>
      <c r="O6" s="449" t="s">
        <v>453</v>
      </c>
      <c r="P6" s="451" t="s">
        <v>454</v>
      </c>
      <c r="Q6" s="452" t="s">
        <v>455</v>
      </c>
      <c r="R6" s="451" t="s">
        <v>456</v>
      </c>
      <c r="S6" s="451" t="s">
        <v>457</v>
      </c>
      <c r="T6" s="451" t="s">
        <v>458</v>
      </c>
      <c r="U6" s="453" t="s">
        <v>507</v>
      </c>
      <c r="V6" s="454" t="s">
        <v>570</v>
      </c>
      <c r="W6" s="423" t="s">
        <v>501</v>
      </c>
      <c r="X6" s="421" t="s">
        <v>502</v>
      </c>
      <c r="Y6" s="421" t="s">
        <v>503</v>
      </c>
    </row>
    <row r="7" spans="1:25" s="282" customFormat="1" ht="49.5" customHeight="1">
      <c r="A7" s="446" t="s">
        <v>4</v>
      </c>
      <c r="B7" s="455" t="s">
        <v>5</v>
      </c>
      <c r="C7" s="446" t="s">
        <v>6</v>
      </c>
      <c r="D7" s="446">
        <f t="shared" ref="D7:W7" si="0">D8+D13+D17+D18</f>
        <v>62051.200000000004</v>
      </c>
      <c r="E7" s="446">
        <f t="shared" si="0"/>
        <v>12646.70742180122</v>
      </c>
      <c r="F7" s="446">
        <f t="shared" si="0"/>
        <v>63796.148000000001</v>
      </c>
      <c r="G7" s="446" t="e">
        <f t="shared" si="0"/>
        <v>#REF!</v>
      </c>
      <c r="H7" s="446" t="e">
        <f t="shared" si="0"/>
        <v>#REF!</v>
      </c>
      <c r="I7" s="446">
        <f t="shared" si="0"/>
        <v>63069.086333333333</v>
      </c>
      <c r="J7" s="446">
        <f t="shared" si="0"/>
        <v>2771.2281299999995</v>
      </c>
      <c r="K7" s="446">
        <f t="shared" si="0"/>
        <v>3538.84744</v>
      </c>
      <c r="L7" s="446">
        <f t="shared" si="0"/>
        <v>4517.74503</v>
      </c>
      <c r="M7" s="456">
        <f t="shared" si="0"/>
        <v>10827.820599999999</v>
      </c>
      <c r="N7" s="446">
        <f t="shared" si="0"/>
        <v>2110.8376699999999</v>
      </c>
      <c r="O7" s="446">
        <f t="shared" si="0"/>
        <v>2363.2894799999999</v>
      </c>
      <c r="P7" s="446">
        <f t="shared" si="0"/>
        <v>4116.9954200000002</v>
      </c>
      <c r="Q7" s="456">
        <f t="shared" si="0"/>
        <v>19418.943169999999</v>
      </c>
      <c r="R7" s="446">
        <f t="shared" si="0"/>
        <v>2030.8318099999997</v>
      </c>
      <c r="S7" s="446">
        <f t="shared" si="0"/>
        <v>3081.5872300000001</v>
      </c>
      <c r="T7" s="446">
        <f t="shared" si="0"/>
        <v>12183.678500000002</v>
      </c>
      <c r="U7" s="457">
        <f t="shared" si="0"/>
        <v>76918.699999999983</v>
      </c>
      <c r="V7" s="458">
        <f t="shared" si="0"/>
        <v>24427.785</v>
      </c>
      <c r="W7" s="458">
        <f t="shared" si="0"/>
        <v>-52428.911</v>
      </c>
      <c r="X7" s="459">
        <f>V7/U7*100-100</f>
        <v>-68.242072473923756</v>
      </c>
      <c r="Y7" s="460"/>
    </row>
    <row r="8" spans="1:25" s="283" customFormat="1" ht="15" customHeight="1">
      <c r="A8" s="446" t="s">
        <v>7</v>
      </c>
      <c r="B8" s="455" t="s">
        <v>8</v>
      </c>
      <c r="C8" s="446" t="s">
        <v>6</v>
      </c>
      <c r="D8" s="446">
        <f t="shared" ref="D8:W8" si="1">SUM(D9:D12)</f>
        <v>12213.36</v>
      </c>
      <c r="E8" s="446">
        <f t="shared" si="1"/>
        <v>2489.2152054614603</v>
      </c>
      <c r="F8" s="446">
        <f t="shared" si="1"/>
        <v>11621.437</v>
      </c>
      <c r="G8" s="446" t="e">
        <f t="shared" si="1"/>
        <v>#REF!</v>
      </c>
      <c r="H8" s="446" t="e">
        <f t="shared" si="1"/>
        <v>#REF!</v>
      </c>
      <c r="I8" s="461">
        <f t="shared" si="1"/>
        <v>11868.071583333334</v>
      </c>
      <c r="J8" s="461">
        <f t="shared" si="1"/>
        <v>1174.4915899999999</v>
      </c>
      <c r="K8" s="461">
        <f t="shared" si="1"/>
        <v>1357.6289999999999</v>
      </c>
      <c r="L8" s="461">
        <f t="shared" si="1"/>
        <v>2503.4325199999998</v>
      </c>
      <c r="M8" s="462">
        <f t="shared" si="1"/>
        <v>5035.5531100000007</v>
      </c>
      <c r="N8" s="461">
        <f t="shared" si="1"/>
        <v>852.95618999999999</v>
      </c>
      <c r="O8" s="461">
        <f t="shared" si="1"/>
        <v>675.87338</v>
      </c>
      <c r="P8" s="461">
        <f t="shared" si="1"/>
        <v>1529.4221700000001</v>
      </c>
      <c r="Q8" s="463">
        <f t="shared" si="1"/>
        <v>8093.8048499999995</v>
      </c>
      <c r="R8" s="464">
        <f t="shared" si="1"/>
        <v>428.57234999999997</v>
      </c>
      <c r="S8" s="464">
        <f t="shared" si="1"/>
        <v>1016.73919</v>
      </c>
      <c r="T8" s="464">
        <f t="shared" si="1"/>
        <v>958.01685999999995</v>
      </c>
      <c r="U8" s="465">
        <f t="shared" si="1"/>
        <v>15942.31</v>
      </c>
      <c r="V8" s="466">
        <f t="shared" si="1"/>
        <v>6613.5860000000002</v>
      </c>
      <c r="W8" s="466">
        <f t="shared" si="1"/>
        <v>-9328.7240000000002</v>
      </c>
      <c r="X8" s="459">
        <f t="shared" ref="X8:X52" si="2">V8/U8*100-100</f>
        <v>-58.515509985692162</v>
      </c>
      <c r="Y8" s="467"/>
    </row>
    <row r="9" spans="1:25" ht="36" customHeight="1">
      <c r="A9" s="468" t="s">
        <v>9</v>
      </c>
      <c r="B9" s="469" t="s">
        <v>10</v>
      </c>
      <c r="C9" s="468" t="s">
        <v>6</v>
      </c>
      <c r="D9" s="470">
        <v>1035.98</v>
      </c>
      <c r="E9" s="471">
        <f>D9*$E$69</f>
        <v>211.14395780964156</v>
      </c>
      <c r="F9" s="470">
        <v>1211.037</v>
      </c>
      <c r="G9" s="471" t="e">
        <f>F9*$G$69</f>
        <v>#REF!</v>
      </c>
      <c r="H9" s="471" t="e">
        <f>E9+G9</f>
        <v>#REF!</v>
      </c>
      <c r="I9" s="472">
        <f>(D9/12*5)+(F9/12*7)</f>
        <v>1138.0965833333335</v>
      </c>
      <c r="J9" s="473">
        <v>0</v>
      </c>
      <c r="K9" s="473">
        <v>0</v>
      </c>
      <c r="L9" s="473">
        <v>127.86</v>
      </c>
      <c r="M9" s="474">
        <f>J9+K9+L9</f>
        <v>127.86</v>
      </c>
      <c r="N9" s="473">
        <v>307.42099999999999</v>
      </c>
      <c r="O9" s="475">
        <v>57.76</v>
      </c>
      <c r="P9" s="472">
        <v>128.39500000000001</v>
      </c>
      <c r="Q9" s="476">
        <f>M9+N9+O9+P9</f>
        <v>621.43600000000004</v>
      </c>
      <c r="R9" s="472">
        <v>0</v>
      </c>
      <c r="S9" s="472">
        <v>0</v>
      </c>
      <c r="T9" s="477">
        <v>0</v>
      </c>
      <c r="U9" s="478">
        <v>3939.37</v>
      </c>
      <c r="V9" s="478">
        <v>582.57600000000002</v>
      </c>
      <c r="W9" s="479">
        <f>V9-U9</f>
        <v>-3356.7939999999999</v>
      </c>
      <c r="X9" s="459">
        <f t="shared" si="2"/>
        <v>-85.211442438765587</v>
      </c>
      <c r="Y9" s="469" t="s">
        <v>579</v>
      </c>
    </row>
    <row r="10" spans="1:25" ht="36" customHeight="1">
      <c r="A10" s="468" t="s">
        <v>11</v>
      </c>
      <c r="B10" s="469" t="s">
        <v>12</v>
      </c>
      <c r="C10" s="468" t="s">
        <v>6</v>
      </c>
      <c r="D10" s="470">
        <v>8014.64</v>
      </c>
      <c r="E10" s="471">
        <f>D10*$E$69</f>
        <v>1633.4705399906038</v>
      </c>
      <c r="F10" s="470">
        <v>8246.2000000000007</v>
      </c>
      <c r="G10" s="471" t="e">
        <f>F10*$G$69</f>
        <v>#REF!</v>
      </c>
      <c r="H10" s="471" t="e">
        <f>E10+G10</f>
        <v>#REF!</v>
      </c>
      <c r="I10" s="472">
        <f>(D10/12*5)+(F10/12*7)</f>
        <v>8149.7166666666672</v>
      </c>
      <c r="J10" s="473">
        <v>169.64286000000001</v>
      </c>
      <c r="K10" s="473">
        <v>1221.70715</v>
      </c>
      <c r="L10" s="473">
        <v>2289.2857199999999</v>
      </c>
      <c r="M10" s="474">
        <f>J10+K10+L10</f>
        <v>3680.63573</v>
      </c>
      <c r="N10" s="473">
        <v>131</v>
      </c>
      <c r="O10" s="475">
        <v>591.38571000000002</v>
      </c>
      <c r="P10" s="472">
        <v>111.60714</v>
      </c>
      <c r="Q10" s="476">
        <f>M10+N10+O10+P10</f>
        <v>4514.6285800000005</v>
      </c>
      <c r="R10" s="472">
        <v>277.57499999999999</v>
      </c>
      <c r="S10" s="472">
        <v>945.53571999999997</v>
      </c>
      <c r="T10" s="472">
        <v>613.07560000000001</v>
      </c>
      <c r="U10" s="478">
        <v>8246.2199999999993</v>
      </c>
      <c r="V10" s="478">
        <v>2357.2460000000001</v>
      </c>
      <c r="W10" s="479">
        <f t="shared" ref="W10:W12" si="3">V10-U10</f>
        <v>-5888.9739999999993</v>
      </c>
      <c r="X10" s="459">
        <f t="shared" si="2"/>
        <v>-71.414223729175305</v>
      </c>
      <c r="Y10" s="469" t="s">
        <v>579</v>
      </c>
    </row>
    <row r="11" spans="1:25" ht="36" customHeight="1">
      <c r="A11" s="468" t="s">
        <v>13</v>
      </c>
      <c r="B11" s="480" t="s">
        <v>314</v>
      </c>
      <c r="C11" s="468" t="s">
        <v>6</v>
      </c>
      <c r="D11" s="470">
        <v>2162.67</v>
      </c>
      <c r="E11" s="471">
        <f>D11*$E$69</f>
        <v>440.77559724722249</v>
      </c>
      <c r="F11" s="470">
        <v>1262.9000000000001</v>
      </c>
      <c r="G11" s="471" t="e">
        <f>F11*$G$69</f>
        <v>#REF!</v>
      </c>
      <c r="H11" s="471" t="e">
        <f>E11+G11</f>
        <v>#REF!</v>
      </c>
      <c r="I11" s="472">
        <f>(D11/12*5)+(F11/12*7)</f>
        <v>1637.8041666666668</v>
      </c>
      <c r="J11" s="473">
        <v>857.39571000000001</v>
      </c>
      <c r="K11" s="473">
        <v>0</v>
      </c>
      <c r="L11" s="473">
        <v>0</v>
      </c>
      <c r="M11" s="474">
        <f>J11+K11+L11</f>
        <v>857.39571000000001</v>
      </c>
      <c r="N11" s="473">
        <v>371.137</v>
      </c>
      <c r="O11" s="475">
        <v>0</v>
      </c>
      <c r="P11" s="472">
        <v>1263.83</v>
      </c>
      <c r="Q11" s="476">
        <f>M11+N11+O11+P11</f>
        <v>2492.3627099999999</v>
      </c>
      <c r="R11" s="472">
        <v>121.47499999999999</v>
      </c>
      <c r="S11" s="472">
        <v>38</v>
      </c>
      <c r="T11" s="472">
        <v>314.10714000000002</v>
      </c>
      <c r="U11" s="478">
        <v>2866.42</v>
      </c>
      <c r="V11" s="478">
        <v>3165.931</v>
      </c>
      <c r="W11" s="479">
        <f t="shared" si="3"/>
        <v>299.51099999999997</v>
      </c>
      <c r="X11" s="459">
        <f t="shared" si="2"/>
        <v>10.448957235855175</v>
      </c>
      <c r="Y11" s="469" t="s">
        <v>579</v>
      </c>
    </row>
    <row r="12" spans="1:25" ht="36" customHeight="1">
      <c r="A12" s="468" t="s">
        <v>14</v>
      </c>
      <c r="B12" s="469" t="s">
        <v>17</v>
      </c>
      <c r="C12" s="468" t="s">
        <v>6</v>
      </c>
      <c r="D12" s="470">
        <v>1000.07</v>
      </c>
      <c r="E12" s="471">
        <f>D12*$E$69</f>
        <v>203.82511041399277</v>
      </c>
      <c r="F12" s="470">
        <v>901.3</v>
      </c>
      <c r="G12" s="471" t="e">
        <f>F12*$G$69</f>
        <v>#REF!</v>
      </c>
      <c r="H12" s="471" t="e">
        <f>E12+G12</f>
        <v>#REF!</v>
      </c>
      <c r="I12" s="472">
        <f>(D12/12*5)+(F12/12*7)</f>
        <v>942.45416666666665</v>
      </c>
      <c r="J12" s="481">
        <v>147.45302000000001</v>
      </c>
      <c r="K12" s="481">
        <v>135.92185000000001</v>
      </c>
      <c r="L12" s="473">
        <v>86.286799999999999</v>
      </c>
      <c r="M12" s="474">
        <f>J12+K12+L12</f>
        <v>369.66166999999996</v>
      </c>
      <c r="N12" s="473">
        <v>43.39819</v>
      </c>
      <c r="O12" s="472">
        <v>26.72767</v>
      </c>
      <c r="P12" s="472">
        <v>25.590029999999999</v>
      </c>
      <c r="Q12" s="476">
        <f>M12+N12+O12+P12</f>
        <v>465.37755999999996</v>
      </c>
      <c r="R12" s="472">
        <v>29.522349999999999</v>
      </c>
      <c r="S12" s="472">
        <v>33.203470000000003</v>
      </c>
      <c r="T12" s="472">
        <v>30.834119999999999</v>
      </c>
      <c r="U12" s="478">
        <v>890.3</v>
      </c>
      <c r="V12" s="478">
        <v>507.83300000000003</v>
      </c>
      <c r="W12" s="479">
        <f t="shared" si="3"/>
        <v>-382.46699999999993</v>
      </c>
      <c r="X12" s="459">
        <f t="shared" si="2"/>
        <v>-42.959339548466801</v>
      </c>
      <c r="Y12" s="469" t="s">
        <v>579</v>
      </c>
    </row>
    <row r="13" spans="1:25" s="282" customFormat="1" ht="15" customHeight="1">
      <c r="A13" s="482">
        <v>2</v>
      </c>
      <c r="B13" s="455" t="s">
        <v>18</v>
      </c>
      <c r="C13" s="446" t="s">
        <v>6</v>
      </c>
      <c r="D13" s="446">
        <f t="shared" ref="D13:I13" si="4">SUM(D14:D16)</f>
        <v>19003.75</v>
      </c>
      <c r="E13" s="446">
        <f t="shared" si="4"/>
        <v>3873.1703201075075</v>
      </c>
      <c r="F13" s="446">
        <f t="shared" si="4"/>
        <v>19276.916000000001</v>
      </c>
      <c r="G13" s="446" t="e">
        <f t="shared" si="4"/>
        <v>#REF!</v>
      </c>
      <c r="H13" s="446" t="e">
        <f t="shared" si="4"/>
        <v>#REF!</v>
      </c>
      <c r="I13" s="461">
        <f t="shared" si="4"/>
        <v>19163.096833333333</v>
      </c>
      <c r="J13" s="464">
        <f t="shared" ref="J13:P13" si="5">SUM(J14:J16)</f>
        <v>1313.0809999999999</v>
      </c>
      <c r="K13" s="464">
        <f t="shared" si="5"/>
        <v>1480.7144999999998</v>
      </c>
      <c r="L13" s="461">
        <f t="shared" si="5"/>
        <v>1761.547</v>
      </c>
      <c r="M13" s="463">
        <f t="shared" si="5"/>
        <v>4555.3424999999997</v>
      </c>
      <c r="N13" s="464">
        <f t="shared" si="5"/>
        <v>1013.3414999999999</v>
      </c>
      <c r="O13" s="464">
        <f>SUM(O14:O16)</f>
        <v>1052.5004999999999</v>
      </c>
      <c r="P13" s="464">
        <f t="shared" si="5"/>
        <v>1940.4269999999999</v>
      </c>
      <c r="Q13" s="463">
        <f t="shared" ref="Q13:V13" si="6">SUM(Q14:Q16)</f>
        <v>8561.6114999999991</v>
      </c>
      <c r="R13" s="464">
        <f t="shared" si="6"/>
        <v>1361.0967999999998</v>
      </c>
      <c r="S13" s="464">
        <f t="shared" si="6"/>
        <v>1224.8090500000001</v>
      </c>
      <c r="T13" s="464">
        <f t="shared" si="6"/>
        <v>1600.2570999999998</v>
      </c>
      <c r="U13" s="465">
        <f t="shared" si="6"/>
        <v>27434.18</v>
      </c>
      <c r="V13" s="466">
        <f t="shared" si="6"/>
        <v>5850.6100000000006</v>
      </c>
      <c r="W13" s="466">
        <f t="shared" ref="W13" si="7">SUM(W14:W16)</f>
        <v>-21583.57</v>
      </c>
      <c r="X13" s="459">
        <f t="shared" si="2"/>
        <v>-78.674011761969922</v>
      </c>
      <c r="Y13" s="469"/>
    </row>
    <row r="14" spans="1:25" ht="33.75" customHeight="1">
      <c r="A14" s="468" t="s">
        <v>19</v>
      </c>
      <c r="B14" s="469" t="s">
        <v>20</v>
      </c>
      <c r="C14" s="468" t="s">
        <v>6</v>
      </c>
      <c r="D14" s="470">
        <v>17297.41</v>
      </c>
      <c r="E14" s="471">
        <f>D14*$E$69</f>
        <v>3525.3997251453425</v>
      </c>
      <c r="F14" s="470">
        <v>17366.599999999999</v>
      </c>
      <c r="G14" s="471" t="e">
        <f>F14*$G$69</f>
        <v>#REF!</v>
      </c>
      <c r="H14" s="471" t="e">
        <f>E14+G14</f>
        <v>#REF!</v>
      </c>
      <c r="I14" s="472">
        <f>(D14/12*5)+(F14/12*7)</f>
        <v>17337.770833333332</v>
      </c>
      <c r="J14" s="481">
        <v>1193.9949999999999</v>
      </c>
      <c r="K14" s="481">
        <v>1349.7739999999999</v>
      </c>
      <c r="L14" s="473">
        <v>1602.8630000000001</v>
      </c>
      <c r="M14" s="476">
        <f>J14+K14+L14</f>
        <v>4146.6319999999996</v>
      </c>
      <c r="N14" s="473">
        <v>926.58299999999997</v>
      </c>
      <c r="O14" s="472">
        <v>957.68899999999996</v>
      </c>
      <c r="P14" s="472">
        <v>1765.6289999999999</v>
      </c>
      <c r="Q14" s="476">
        <f>M14+N14+O14+P14</f>
        <v>7796.5329999999994</v>
      </c>
      <c r="R14" s="472">
        <v>1238.4849999999999</v>
      </c>
      <c r="S14" s="472">
        <v>1113.4380000000001</v>
      </c>
      <c r="T14" s="472">
        <v>1458.7929999999999</v>
      </c>
      <c r="U14" s="483">
        <v>24962.86</v>
      </c>
      <c r="V14" s="478">
        <v>5324.549</v>
      </c>
      <c r="W14" s="479">
        <f t="shared" ref="W14:W17" si="8">V14-U14</f>
        <v>-19638.311000000002</v>
      </c>
      <c r="X14" s="459">
        <f t="shared" si="2"/>
        <v>-78.670116324812142</v>
      </c>
      <c r="Y14" s="469" t="s">
        <v>579</v>
      </c>
    </row>
    <row r="15" spans="1:25" ht="33.75" customHeight="1">
      <c r="A15" s="468" t="s">
        <v>459</v>
      </c>
      <c r="B15" s="469" t="s">
        <v>22</v>
      </c>
      <c r="C15" s="468" t="s">
        <v>6</v>
      </c>
      <c r="D15" s="470">
        <v>974.58</v>
      </c>
      <c r="E15" s="471">
        <f>D15*$E$69</f>
        <v>198.62997200922845</v>
      </c>
      <c r="F15" s="470">
        <v>1041.99</v>
      </c>
      <c r="G15" s="471" t="e">
        <f>F15*$G$69</f>
        <v>#REF!</v>
      </c>
      <c r="H15" s="471" t="e">
        <f>E15+G15</f>
        <v>#REF!</v>
      </c>
      <c r="I15" s="472">
        <f>(D15/12*5)+(F15/12*7)</f>
        <v>1013.9025</v>
      </c>
      <c r="J15" s="481">
        <v>68.959999999999994</v>
      </c>
      <c r="K15" s="481">
        <v>71.423000000000002</v>
      </c>
      <c r="L15" s="473">
        <v>86.555999999999997</v>
      </c>
      <c r="M15" s="476">
        <f>J15+K15+L15</f>
        <v>226.93899999999996</v>
      </c>
      <c r="N15" s="473">
        <v>47.323999999999998</v>
      </c>
      <c r="O15" s="472">
        <v>51.716000000000001</v>
      </c>
      <c r="P15" s="472">
        <v>95.344999999999999</v>
      </c>
      <c r="Q15" s="476">
        <f>M15+N15+O15+P15</f>
        <v>421.32399999999996</v>
      </c>
      <c r="R15" s="472">
        <v>66.88</v>
      </c>
      <c r="S15" s="472">
        <v>60.749000000000002</v>
      </c>
      <c r="T15" s="472">
        <v>77.162999999999997</v>
      </c>
      <c r="U15" s="483">
        <v>1347.99</v>
      </c>
      <c r="V15" s="478">
        <v>286.45699999999999</v>
      </c>
      <c r="W15" s="479">
        <f t="shared" si="8"/>
        <v>-1061.5329999999999</v>
      </c>
      <c r="X15" s="459">
        <f t="shared" si="2"/>
        <v>-78.749323066194847</v>
      </c>
      <c r="Y15" s="469" t="s">
        <v>579</v>
      </c>
    </row>
    <row r="16" spans="1:25" ht="33.75" customHeight="1">
      <c r="A16" s="468" t="s">
        <v>460</v>
      </c>
      <c r="B16" s="469" t="s">
        <v>24</v>
      </c>
      <c r="C16" s="468" t="s">
        <v>6</v>
      </c>
      <c r="D16" s="470">
        <v>731.76</v>
      </c>
      <c r="E16" s="471">
        <f>D16*$E$69</f>
        <v>149.14062295293664</v>
      </c>
      <c r="F16" s="470">
        <v>868.32600000000002</v>
      </c>
      <c r="G16" s="471" t="e">
        <f>F16*$G$69</f>
        <v>#REF!</v>
      </c>
      <c r="H16" s="471" t="e">
        <f>E16+G16</f>
        <v>#REF!</v>
      </c>
      <c r="I16" s="472">
        <f>(D16/12*5)+(F16/12*7)</f>
        <v>811.42349999999999</v>
      </c>
      <c r="J16" s="481">
        <v>50.125999999999998</v>
      </c>
      <c r="K16" s="481">
        <v>59.517499999999998</v>
      </c>
      <c r="L16" s="473">
        <v>72.128</v>
      </c>
      <c r="M16" s="476">
        <f>J16+K16+L16</f>
        <v>181.7715</v>
      </c>
      <c r="N16" s="473">
        <v>39.4345</v>
      </c>
      <c r="O16" s="472">
        <v>43.095500000000001</v>
      </c>
      <c r="P16" s="472">
        <v>79.453000000000003</v>
      </c>
      <c r="Q16" s="476">
        <f>M16+N16+O16+P16</f>
        <v>343.75450000000001</v>
      </c>
      <c r="R16" s="472">
        <v>55.7318</v>
      </c>
      <c r="S16" s="472">
        <v>50.622050000000002</v>
      </c>
      <c r="T16" s="472">
        <v>64.301100000000005</v>
      </c>
      <c r="U16" s="483">
        <v>1123.33</v>
      </c>
      <c r="V16" s="478">
        <v>239.60400000000001</v>
      </c>
      <c r="W16" s="479">
        <f t="shared" si="8"/>
        <v>-883.72599999999989</v>
      </c>
      <c r="X16" s="459">
        <f t="shared" si="2"/>
        <v>-78.670203769150646</v>
      </c>
      <c r="Y16" s="469" t="s">
        <v>579</v>
      </c>
    </row>
    <row r="17" spans="1:25" s="282" customFormat="1" ht="32.25" customHeight="1">
      <c r="A17" s="482">
        <v>3</v>
      </c>
      <c r="B17" s="455" t="s">
        <v>25</v>
      </c>
      <c r="C17" s="446" t="s">
        <v>6</v>
      </c>
      <c r="D17" s="446">
        <v>24222.91</v>
      </c>
      <c r="E17" s="471">
        <f>D17*$E$69</f>
        <v>4936.8917228776081</v>
      </c>
      <c r="F17" s="446">
        <v>30000</v>
      </c>
      <c r="G17" s="448" t="e">
        <f>F17*$G$69</f>
        <v>#REF!</v>
      </c>
      <c r="H17" s="471" t="e">
        <f>E17+G17</f>
        <v>#REF!</v>
      </c>
      <c r="I17" s="487">
        <f>(D17/12*5)+(F17/12*7)</f>
        <v>27592.879166666666</v>
      </c>
      <c r="J17" s="464">
        <v>0</v>
      </c>
      <c r="K17" s="464">
        <v>0</v>
      </c>
      <c r="L17" s="461">
        <v>0</v>
      </c>
      <c r="M17" s="488">
        <f>J17+K17+L17</f>
        <v>0</v>
      </c>
      <c r="N17" s="489">
        <v>0</v>
      </c>
      <c r="O17" s="487">
        <v>0</v>
      </c>
      <c r="P17" s="490">
        <v>0</v>
      </c>
      <c r="Q17" s="488">
        <f>M17+N17+O17+P17</f>
        <v>0</v>
      </c>
      <c r="R17" s="487">
        <v>0</v>
      </c>
      <c r="S17" s="487">
        <v>0</v>
      </c>
      <c r="T17" s="487">
        <v>9198.3561900000004</v>
      </c>
      <c r="U17" s="491">
        <v>31161.03</v>
      </c>
      <c r="V17" s="465">
        <v>10387.01</v>
      </c>
      <c r="W17" s="479">
        <f t="shared" si="8"/>
        <v>-20774.019999999997</v>
      </c>
      <c r="X17" s="459">
        <f t="shared" si="2"/>
        <v>-66.666666666666657</v>
      </c>
      <c r="Y17" s="469" t="s">
        <v>579</v>
      </c>
    </row>
    <row r="18" spans="1:25" s="282" customFormat="1" ht="15" customHeight="1">
      <c r="A18" s="482">
        <v>4</v>
      </c>
      <c r="B18" s="455" t="s">
        <v>28</v>
      </c>
      <c r="C18" s="446" t="s">
        <v>6</v>
      </c>
      <c r="D18" s="451">
        <f>SUM(D19:D24)+D25+D29</f>
        <v>6611.18</v>
      </c>
      <c r="E18" s="451">
        <f>SUM(E19:E24)+E25+E29</f>
        <v>1347.4301733546456</v>
      </c>
      <c r="F18" s="451">
        <f>SUM(F19:F24)+F25+F29</f>
        <v>2897.7949999999996</v>
      </c>
      <c r="G18" s="451" t="e">
        <f>SUM(G19:G24)+G25+G29</f>
        <v>#REF!</v>
      </c>
      <c r="H18" s="451" t="e">
        <f>SUM(H19:H24)+H25+H29</f>
        <v>#REF!</v>
      </c>
      <c r="I18" s="451">
        <f t="shared" ref="I18:W18" si="9">SUM(I19:I24)+I25+I29</f>
        <v>4445.0387499999997</v>
      </c>
      <c r="J18" s="451">
        <f t="shared" si="9"/>
        <v>283.65553999999997</v>
      </c>
      <c r="K18" s="451">
        <f t="shared" si="9"/>
        <v>700.50394000000006</v>
      </c>
      <c r="L18" s="451">
        <f t="shared" si="9"/>
        <v>252.76551000000001</v>
      </c>
      <c r="M18" s="450">
        <f t="shared" si="9"/>
        <v>1236.92499</v>
      </c>
      <c r="N18" s="451">
        <f t="shared" si="9"/>
        <v>244.53997999999999</v>
      </c>
      <c r="O18" s="451">
        <f t="shared" si="9"/>
        <v>634.91560000000004</v>
      </c>
      <c r="P18" s="451">
        <f t="shared" si="9"/>
        <v>647.14625000000001</v>
      </c>
      <c r="Q18" s="450">
        <f t="shared" si="9"/>
        <v>2763.52682</v>
      </c>
      <c r="R18" s="451">
        <f t="shared" si="9"/>
        <v>241.16265999999999</v>
      </c>
      <c r="S18" s="451">
        <f t="shared" si="9"/>
        <v>840.03899000000001</v>
      </c>
      <c r="T18" s="451">
        <f t="shared" si="9"/>
        <v>427.04835000000003</v>
      </c>
      <c r="U18" s="491">
        <f>SUM(U19:U24)+U25+U29</f>
        <v>2381.1799999999994</v>
      </c>
      <c r="V18" s="492">
        <f t="shared" si="9"/>
        <v>1576.579</v>
      </c>
      <c r="W18" s="492">
        <f t="shared" si="9"/>
        <v>-742.59700000000009</v>
      </c>
      <c r="X18" s="459">
        <f t="shared" si="2"/>
        <v>-33.790011674883871</v>
      </c>
      <c r="Y18" s="469"/>
    </row>
    <row r="19" spans="1:25" s="284" customFormat="1" ht="33.75" customHeight="1">
      <c r="A19" s="493" t="s">
        <v>26</v>
      </c>
      <c r="B19" s="469" t="s">
        <v>30</v>
      </c>
      <c r="C19" s="493" t="s">
        <v>6</v>
      </c>
      <c r="D19" s="494">
        <v>801.7</v>
      </c>
      <c r="E19" s="471">
        <f t="shared" ref="E19:E24" si="10">D19*$E$69</f>
        <v>163.39515335816296</v>
      </c>
      <c r="F19" s="494">
        <v>366.52199999999999</v>
      </c>
      <c r="G19" s="471" t="e">
        <f t="shared" ref="G19:G29" si="11">F19*$G$69</f>
        <v>#REF!</v>
      </c>
      <c r="H19" s="471" t="e">
        <f t="shared" ref="H19:H24" si="12">E19+G19</f>
        <v>#REF!</v>
      </c>
      <c r="I19" s="472">
        <f t="shared" ref="I19:I24" si="13">(D19/12*5)+(F19/12*7)</f>
        <v>547.8461666666667</v>
      </c>
      <c r="J19" s="475">
        <v>61.455539999999999</v>
      </c>
      <c r="K19" s="481">
        <v>65.183940000000007</v>
      </c>
      <c r="L19" s="481">
        <v>65.441509999999994</v>
      </c>
      <c r="M19" s="476">
        <f t="shared" ref="M19:M27" si="14">J19+K19+L19</f>
        <v>192.08098999999999</v>
      </c>
      <c r="N19" s="481">
        <v>68.025980000000004</v>
      </c>
      <c r="O19" s="475">
        <v>65.491600000000005</v>
      </c>
      <c r="P19" s="475">
        <v>75.867599999999996</v>
      </c>
      <c r="Q19" s="476">
        <f t="shared" ref="Q19:Q26" si="15">M19+N19+O19+P19</f>
        <v>401.46616999999998</v>
      </c>
      <c r="R19" s="475">
        <v>69.922659999999993</v>
      </c>
      <c r="S19" s="475">
        <v>66.881280000000004</v>
      </c>
      <c r="T19" s="475">
        <v>57.836640000000003</v>
      </c>
      <c r="U19" s="483">
        <v>771.1</v>
      </c>
      <c r="V19" s="478">
        <v>328.50200000000001</v>
      </c>
      <c r="W19" s="177">
        <f t="shared" ref="W19:W24" si="16">V19-U19</f>
        <v>-442.59800000000001</v>
      </c>
      <c r="X19" s="459">
        <f t="shared" si="2"/>
        <v>-57.3982622227986</v>
      </c>
      <c r="Y19" s="469" t="s">
        <v>579</v>
      </c>
    </row>
    <row r="20" spans="1:25" ht="33.75" customHeight="1">
      <c r="A20" s="493" t="s">
        <v>461</v>
      </c>
      <c r="B20" s="469" t="s">
        <v>32</v>
      </c>
      <c r="C20" s="468" t="s">
        <v>6</v>
      </c>
      <c r="D20" s="468">
        <v>876.28</v>
      </c>
      <c r="E20" s="471">
        <f t="shared" si="10"/>
        <v>178.59536607794811</v>
      </c>
      <c r="F20" s="468">
        <v>876.3</v>
      </c>
      <c r="G20" s="471" t="e">
        <f t="shared" si="11"/>
        <v>#REF!</v>
      </c>
      <c r="H20" s="471" t="e">
        <f t="shared" si="12"/>
        <v>#REF!</v>
      </c>
      <c r="I20" s="472">
        <f t="shared" si="13"/>
        <v>876.29166666666652</v>
      </c>
      <c r="J20" s="485">
        <v>0</v>
      </c>
      <c r="K20" s="485">
        <v>0</v>
      </c>
      <c r="L20" s="486">
        <v>0</v>
      </c>
      <c r="M20" s="474">
        <f t="shared" si="14"/>
        <v>0</v>
      </c>
      <c r="N20" s="473">
        <v>0</v>
      </c>
      <c r="O20" s="472">
        <v>0</v>
      </c>
      <c r="P20" s="472">
        <v>190.66</v>
      </c>
      <c r="Q20" s="476">
        <f t="shared" si="15"/>
        <v>190.66</v>
      </c>
      <c r="R20" s="472">
        <v>0</v>
      </c>
      <c r="S20" s="472">
        <v>295.20571000000001</v>
      </c>
      <c r="T20" s="472">
        <v>0</v>
      </c>
      <c r="U20" s="483">
        <v>485.87</v>
      </c>
      <c r="V20" s="478">
        <v>0</v>
      </c>
      <c r="W20" s="177">
        <f t="shared" si="16"/>
        <v>-485.87</v>
      </c>
      <c r="X20" s="459">
        <f t="shared" si="2"/>
        <v>-100</v>
      </c>
      <c r="Y20" s="469" t="s">
        <v>579</v>
      </c>
    </row>
    <row r="21" spans="1:25" ht="33.75" customHeight="1">
      <c r="A21" s="493" t="s">
        <v>462</v>
      </c>
      <c r="B21" s="480" t="s">
        <v>38</v>
      </c>
      <c r="C21" s="468" t="s">
        <v>6</v>
      </c>
      <c r="D21" s="468">
        <v>4138</v>
      </c>
      <c r="E21" s="471">
        <f t="shared" si="10"/>
        <v>843.36927104412905</v>
      </c>
      <c r="F21" s="468">
        <v>500</v>
      </c>
      <c r="G21" s="471" t="e">
        <f t="shared" si="11"/>
        <v>#REF!</v>
      </c>
      <c r="H21" s="471" t="e">
        <f t="shared" si="12"/>
        <v>#REF!</v>
      </c>
      <c r="I21" s="472">
        <f t="shared" si="13"/>
        <v>2015.833333333333</v>
      </c>
      <c r="J21" s="485">
        <v>207.80799999999999</v>
      </c>
      <c r="K21" s="485">
        <v>620.928</v>
      </c>
      <c r="L21" s="486">
        <v>159.32400000000001</v>
      </c>
      <c r="M21" s="476">
        <f>J21+K21+L21</f>
        <v>988.06</v>
      </c>
      <c r="N21" s="473">
        <v>124.53400000000001</v>
      </c>
      <c r="O21" s="475">
        <v>569.42399999999998</v>
      </c>
      <c r="P21" s="472">
        <v>264.43799999999999</v>
      </c>
      <c r="Q21" s="476">
        <f t="shared" si="15"/>
        <v>1946.4560000000001</v>
      </c>
      <c r="R21" s="472">
        <v>137.26</v>
      </c>
      <c r="S21" s="472">
        <v>471.97199999999998</v>
      </c>
      <c r="T21" s="472">
        <v>305.19600000000003</v>
      </c>
      <c r="U21" s="483">
        <v>600</v>
      </c>
      <c r="V21" s="478">
        <v>1160.721</v>
      </c>
      <c r="W21" s="177">
        <f t="shared" si="16"/>
        <v>560.721</v>
      </c>
      <c r="X21" s="459">
        <f t="shared" si="2"/>
        <v>93.45350000000002</v>
      </c>
      <c r="Y21" s="469" t="s">
        <v>579</v>
      </c>
    </row>
    <row r="22" spans="1:25" s="284" customFormat="1" ht="33.75" customHeight="1">
      <c r="A22" s="493" t="s">
        <v>463</v>
      </c>
      <c r="B22" s="480" t="s">
        <v>172</v>
      </c>
      <c r="C22" s="493" t="s">
        <v>6</v>
      </c>
      <c r="D22" s="493">
        <v>202.6</v>
      </c>
      <c r="E22" s="471">
        <f t="shared" si="10"/>
        <v>41.292076924490217</v>
      </c>
      <c r="F22" s="493">
        <v>297.2</v>
      </c>
      <c r="G22" s="471" t="e">
        <f t="shared" si="11"/>
        <v>#REF!</v>
      </c>
      <c r="H22" s="471" t="e">
        <f t="shared" si="12"/>
        <v>#REF!</v>
      </c>
      <c r="I22" s="472">
        <f t="shared" si="13"/>
        <v>257.7833333333333</v>
      </c>
      <c r="J22" s="485">
        <v>14.391999999999999</v>
      </c>
      <c r="K22" s="485">
        <v>14.391999999999999</v>
      </c>
      <c r="L22" s="485">
        <v>0</v>
      </c>
      <c r="M22" s="476">
        <f t="shared" si="14"/>
        <v>28.783999999999999</v>
      </c>
      <c r="N22" s="481">
        <v>45.98</v>
      </c>
      <c r="O22" s="475">
        <v>0</v>
      </c>
      <c r="P22" s="475">
        <v>31.664000000000001</v>
      </c>
      <c r="Q22" s="476">
        <f t="shared" si="15"/>
        <v>106.428</v>
      </c>
      <c r="R22" s="475">
        <v>0</v>
      </c>
      <c r="S22" s="475">
        <v>0</v>
      </c>
      <c r="T22" s="475">
        <v>0</v>
      </c>
      <c r="U22" s="483">
        <v>257.02</v>
      </c>
      <c r="V22" s="478">
        <v>29.32</v>
      </c>
      <c r="W22" s="177">
        <f t="shared" si="16"/>
        <v>-227.7</v>
      </c>
      <c r="X22" s="459">
        <f t="shared" si="2"/>
        <v>-88.592327445334988</v>
      </c>
      <c r="Y22" s="469" t="s">
        <v>579</v>
      </c>
    </row>
    <row r="23" spans="1:25" s="284" customFormat="1" ht="33.75" customHeight="1">
      <c r="A23" s="493" t="s">
        <v>464</v>
      </c>
      <c r="B23" s="480" t="s">
        <v>465</v>
      </c>
      <c r="C23" s="493" t="s">
        <v>6</v>
      </c>
      <c r="D23" s="493">
        <v>0</v>
      </c>
      <c r="E23" s="471">
        <f t="shared" si="10"/>
        <v>0</v>
      </c>
      <c r="F23" s="493">
        <v>63.5</v>
      </c>
      <c r="G23" s="471" t="e">
        <f t="shared" si="11"/>
        <v>#REF!</v>
      </c>
      <c r="H23" s="471" t="e">
        <f t="shared" si="12"/>
        <v>#REF!</v>
      </c>
      <c r="I23" s="472">
        <f t="shared" si="13"/>
        <v>37.041666666666671</v>
      </c>
      <c r="J23" s="485">
        <v>0</v>
      </c>
      <c r="K23" s="485">
        <v>0</v>
      </c>
      <c r="L23" s="485">
        <v>0</v>
      </c>
      <c r="M23" s="476">
        <f t="shared" si="14"/>
        <v>0</v>
      </c>
      <c r="N23" s="481">
        <v>0</v>
      </c>
      <c r="O23" s="475">
        <v>0</v>
      </c>
      <c r="P23" s="475">
        <v>45.5</v>
      </c>
      <c r="Q23" s="476">
        <f t="shared" si="15"/>
        <v>45.5</v>
      </c>
      <c r="R23" s="475">
        <v>0</v>
      </c>
      <c r="S23" s="475">
        <v>0</v>
      </c>
      <c r="T23" s="475">
        <v>0</v>
      </c>
      <c r="U23" s="483">
        <v>50.81</v>
      </c>
      <c r="V23" s="478">
        <v>0</v>
      </c>
      <c r="W23" s="177">
        <f t="shared" si="16"/>
        <v>-50.81</v>
      </c>
      <c r="X23" s="459">
        <f t="shared" si="2"/>
        <v>-100</v>
      </c>
      <c r="Y23" s="469" t="s">
        <v>579</v>
      </c>
    </row>
    <row r="24" spans="1:25" ht="33.75" customHeight="1">
      <c r="A24" s="493" t="s">
        <v>466</v>
      </c>
      <c r="B24" s="480" t="s">
        <v>467</v>
      </c>
      <c r="C24" s="468" t="s">
        <v>6</v>
      </c>
      <c r="D24" s="468">
        <v>57.6</v>
      </c>
      <c r="E24" s="471">
        <f t="shared" si="10"/>
        <v>11.739504594524368</v>
      </c>
      <c r="F24" s="468">
        <v>43.2</v>
      </c>
      <c r="G24" s="471" t="e">
        <f t="shared" si="11"/>
        <v>#REF!</v>
      </c>
      <c r="H24" s="471" t="e">
        <f t="shared" si="12"/>
        <v>#REF!</v>
      </c>
      <c r="I24" s="472">
        <f t="shared" si="13"/>
        <v>49.2</v>
      </c>
      <c r="J24" s="486">
        <v>0</v>
      </c>
      <c r="K24" s="486">
        <v>0</v>
      </c>
      <c r="L24" s="486">
        <v>0</v>
      </c>
      <c r="M24" s="474">
        <f t="shared" si="14"/>
        <v>0</v>
      </c>
      <c r="N24" s="473">
        <v>0</v>
      </c>
      <c r="O24" s="472">
        <v>0</v>
      </c>
      <c r="P24" s="472">
        <v>0</v>
      </c>
      <c r="Q24" s="476">
        <f t="shared" si="15"/>
        <v>0</v>
      </c>
      <c r="R24" s="472">
        <v>0</v>
      </c>
      <c r="S24" s="472">
        <v>0</v>
      </c>
      <c r="T24" s="472">
        <v>0</v>
      </c>
      <c r="U24" s="483">
        <v>57.6</v>
      </c>
      <c r="V24" s="478">
        <v>0</v>
      </c>
      <c r="W24" s="177">
        <f t="shared" si="16"/>
        <v>-57.6</v>
      </c>
      <c r="X24" s="459">
        <f t="shared" si="2"/>
        <v>-100</v>
      </c>
      <c r="Y24" s="469" t="s">
        <v>579</v>
      </c>
    </row>
    <row r="25" spans="1:25" ht="33" customHeight="1">
      <c r="A25" s="447" t="s">
        <v>468</v>
      </c>
      <c r="B25" s="455" t="s">
        <v>469</v>
      </c>
      <c r="C25" s="446" t="s">
        <v>6</v>
      </c>
      <c r="D25" s="446">
        <f>SUM(D26:D28)</f>
        <v>503</v>
      </c>
      <c r="E25" s="446">
        <f>SUM(E26:E28)</f>
        <v>102.51685435843326</v>
      </c>
      <c r="F25" s="446">
        <f>SUM(F26:F28)</f>
        <v>296.10000000000002</v>
      </c>
      <c r="G25" s="471" t="e">
        <f t="shared" si="11"/>
        <v>#REF!</v>
      </c>
      <c r="H25" s="446" t="e">
        <f>SUM(H26:H28)</f>
        <v>#REF!</v>
      </c>
      <c r="I25" s="446">
        <f>SUM(I26:I28)</f>
        <v>382.30833333333328</v>
      </c>
      <c r="J25" s="446">
        <f t="shared" ref="J25:R25" si="17">SUM(J26:J28)</f>
        <v>0</v>
      </c>
      <c r="K25" s="446">
        <f t="shared" si="17"/>
        <v>0</v>
      </c>
      <c r="L25" s="446">
        <f t="shared" si="17"/>
        <v>28</v>
      </c>
      <c r="M25" s="456">
        <f t="shared" si="17"/>
        <v>28</v>
      </c>
      <c r="N25" s="446">
        <f t="shared" si="17"/>
        <v>6</v>
      </c>
      <c r="O25" s="446">
        <f t="shared" si="17"/>
        <v>0</v>
      </c>
      <c r="P25" s="446">
        <f t="shared" si="17"/>
        <v>27.056650000000001</v>
      </c>
      <c r="Q25" s="456">
        <f>SUM(Q26:Q28)</f>
        <v>61.056650000000005</v>
      </c>
      <c r="R25" s="446">
        <f t="shared" si="17"/>
        <v>28</v>
      </c>
      <c r="S25" s="446">
        <f>SUM(S26:S28)</f>
        <v>0</v>
      </c>
      <c r="T25" s="446">
        <f>SUM(T26:T28)</f>
        <v>58.035710000000002</v>
      </c>
      <c r="U25" s="491">
        <v>120.04</v>
      </c>
      <c r="V25" s="495">
        <f>SUM(V26:V28)</f>
        <v>58.036000000000001</v>
      </c>
      <c r="W25" s="458">
        <f t="shared" ref="W25" si="18">SUM(W26:W28)</f>
        <v>0</v>
      </c>
      <c r="X25" s="459">
        <f t="shared" si="2"/>
        <v>-51.652782405864713</v>
      </c>
      <c r="Y25" s="469"/>
    </row>
    <row r="26" spans="1:25" ht="35.25" hidden="1" customHeight="1">
      <c r="A26" s="496" t="s">
        <v>470</v>
      </c>
      <c r="B26" s="497" t="s">
        <v>571</v>
      </c>
      <c r="C26" s="468" t="s">
        <v>6</v>
      </c>
      <c r="D26" s="468">
        <v>500</v>
      </c>
      <c r="E26" s="471">
        <f>D26*$E$69</f>
        <v>101.90542182746846</v>
      </c>
      <c r="F26" s="468">
        <v>296.10000000000002</v>
      </c>
      <c r="G26" s="471" t="e">
        <f t="shared" si="11"/>
        <v>#REF!</v>
      </c>
      <c r="H26" s="471" t="e">
        <f>E26+G26</f>
        <v>#REF!</v>
      </c>
      <c r="I26" s="472">
        <f>(D26/12*5)+(F26/12*7)</f>
        <v>381.05833333333328</v>
      </c>
      <c r="J26" s="486">
        <v>0</v>
      </c>
      <c r="K26" s="486">
        <v>0</v>
      </c>
      <c r="L26" s="486">
        <v>28</v>
      </c>
      <c r="M26" s="474">
        <f t="shared" si="14"/>
        <v>28</v>
      </c>
      <c r="N26" s="473">
        <v>6</v>
      </c>
      <c r="O26" s="472">
        <v>0</v>
      </c>
      <c r="P26" s="472">
        <v>0</v>
      </c>
      <c r="Q26" s="476">
        <f t="shared" si="15"/>
        <v>34</v>
      </c>
      <c r="R26" s="472">
        <v>28</v>
      </c>
      <c r="S26" s="472">
        <v>0</v>
      </c>
      <c r="T26" s="472">
        <v>58.035710000000002</v>
      </c>
      <c r="U26" s="483"/>
      <c r="V26" s="478">
        <v>58.036000000000001</v>
      </c>
      <c r="W26" s="479"/>
      <c r="X26" s="459"/>
      <c r="Y26" s="469" t="s">
        <v>579</v>
      </c>
    </row>
    <row r="27" spans="1:25" s="284" customFormat="1" ht="35.25" hidden="1" customHeight="1">
      <c r="A27" s="496" t="s">
        <v>471</v>
      </c>
      <c r="B27" s="469" t="s">
        <v>472</v>
      </c>
      <c r="C27" s="493" t="s">
        <v>6</v>
      </c>
      <c r="D27" s="494">
        <v>0</v>
      </c>
      <c r="E27" s="471">
        <f>D27*$E$69</f>
        <v>0</v>
      </c>
      <c r="F27" s="494">
        <v>0</v>
      </c>
      <c r="G27" s="471" t="e">
        <f t="shared" si="11"/>
        <v>#REF!</v>
      </c>
      <c r="H27" s="471" t="e">
        <f>E27+G27</f>
        <v>#REF!</v>
      </c>
      <c r="I27" s="472">
        <v>0</v>
      </c>
      <c r="J27" s="475">
        <v>0</v>
      </c>
      <c r="K27" s="481">
        <v>0</v>
      </c>
      <c r="L27" s="481">
        <v>0</v>
      </c>
      <c r="M27" s="476">
        <f t="shared" si="14"/>
        <v>0</v>
      </c>
      <c r="N27" s="481">
        <v>0</v>
      </c>
      <c r="O27" s="475">
        <v>0</v>
      </c>
      <c r="P27" s="475">
        <v>27.056650000000001</v>
      </c>
      <c r="Q27" s="476">
        <f>M27+N27+O27+P27</f>
        <v>27.056650000000001</v>
      </c>
      <c r="R27" s="475">
        <v>0</v>
      </c>
      <c r="S27" s="475">
        <v>0</v>
      </c>
      <c r="T27" s="475">
        <v>0</v>
      </c>
      <c r="U27" s="483"/>
      <c r="V27" s="478"/>
      <c r="W27" s="479"/>
      <c r="X27" s="459"/>
      <c r="Y27" s="469" t="s">
        <v>579</v>
      </c>
    </row>
    <row r="28" spans="1:25" ht="35.25" hidden="1" customHeight="1">
      <c r="A28" s="496" t="s">
        <v>473</v>
      </c>
      <c r="B28" s="469" t="s">
        <v>210</v>
      </c>
      <c r="C28" s="468" t="s">
        <v>6</v>
      </c>
      <c r="D28" s="468">
        <v>3</v>
      </c>
      <c r="E28" s="471">
        <f>D28*$E$69</f>
        <v>0.61143253096481076</v>
      </c>
      <c r="F28" s="468">
        <v>0</v>
      </c>
      <c r="G28" s="471" t="e">
        <f t="shared" si="11"/>
        <v>#REF!</v>
      </c>
      <c r="H28" s="471" t="e">
        <f>E28+G28</f>
        <v>#REF!</v>
      </c>
      <c r="I28" s="472">
        <f>(D28/12*5)+(F28/12*7)</f>
        <v>1.25</v>
      </c>
      <c r="J28" s="486">
        <v>0</v>
      </c>
      <c r="K28" s="486">
        <v>0</v>
      </c>
      <c r="L28" s="486">
        <v>0</v>
      </c>
      <c r="M28" s="474">
        <f>J28+K28+L28</f>
        <v>0</v>
      </c>
      <c r="N28" s="473">
        <v>0</v>
      </c>
      <c r="O28" s="472">
        <v>0</v>
      </c>
      <c r="P28" s="472">
        <v>0</v>
      </c>
      <c r="Q28" s="476">
        <f>M28+N28+O28+P28</f>
        <v>0</v>
      </c>
      <c r="R28" s="472">
        <v>0</v>
      </c>
      <c r="S28" s="472">
        <v>0</v>
      </c>
      <c r="T28" s="472">
        <v>0</v>
      </c>
      <c r="U28" s="483"/>
      <c r="V28" s="478">
        <v>0</v>
      </c>
      <c r="W28" s="479">
        <f t="shared" ref="W28:W29" si="19">V28-U28</f>
        <v>0</v>
      </c>
      <c r="X28" s="459"/>
      <c r="Y28" s="469" t="s">
        <v>579</v>
      </c>
    </row>
    <row r="29" spans="1:25" ht="30.75" customHeight="1">
      <c r="A29" s="498" t="s">
        <v>474</v>
      </c>
      <c r="B29" s="455" t="s">
        <v>41</v>
      </c>
      <c r="C29" s="446" t="s">
        <v>6</v>
      </c>
      <c r="D29" s="446">
        <v>32</v>
      </c>
      <c r="E29" s="448">
        <f>D29*$E$69</f>
        <v>6.5219469969579817</v>
      </c>
      <c r="F29" s="446">
        <v>454.97300000000001</v>
      </c>
      <c r="G29" s="471" t="e">
        <f t="shared" si="11"/>
        <v>#REF!</v>
      </c>
      <c r="H29" s="471" t="e">
        <f>E29+G29</f>
        <v>#REF!</v>
      </c>
      <c r="I29" s="487">
        <f>(D29/12*5)+(F29/12*7)</f>
        <v>278.73424999999997</v>
      </c>
      <c r="J29" s="461">
        <v>0</v>
      </c>
      <c r="K29" s="461">
        <v>0</v>
      </c>
      <c r="L29" s="461">
        <v>0</v>
      </c>
      <c r="M29" s="499">
        <f>J29+K29+L29</f>
        <v>0</v>
      </c>
      <c r="N29" s="489">
        <v>0</v>
      </c>
      <c r="O29" s="487">
        <v>0</v>
      </c>
      <c r="P29" s="490">
        <v>11.96</v>
      </c>
      <c r="Q29" s="488">
        <f>M29+N29+O29+P29</f>
        <v>11.96</v>
      </c>
      <c r="R29" s="487">
        <v>5.98</v>
      </c>
      <c r="S29" s="487">
        <v>5.98</v>
      </c>
      <c r="T29" s="487">
        <v>5.98</v>
      </c>
      <c r="U29" s="491">
        <v>38.74</v>
      </c>
      <c r="V29" s="465">
        <f>'[1]ИТС за 2016 г'!$H$30</f>
        <v>0</v>
      </c>
      <c r="W29" s="479">
        <f t="shared" si="19"/>
        <v>-38.74</v>
      </c>
      <c r="X29" s="459">
        <f t="shared" si="2"/>
        <v>-100</v>
      </c>
      <c r="Y29" s="469" t="s">
        <v>579</v>
      </c>
    </row>
    <row r="30" spans="1:25" s="282" customFormat="1" ht="15" customHeight="1">
      <c r="A30" s="446" t="s">
        <v>42</v>
      </c>
      <c r="B30" s="455" t="s">
        <v>43</v>
      </c>
      <c r="C30" s="446" t="s">
        <v>6</v>
      </c>
      <c r="D30" s="451">
        <f>D33+D37+D38+D39+D46</f>
        <v>19988.759999999998</v>
      </c>
      <c r="E30" s="451">
        <f>E33+E37+E38+E39+E46</f>
        <v>4073.9260392160568</v>
      </c>
      <c r="F30" s="451">
        <f>F33+F37+F38+F39+F46</f>
        <v>18756.106000000003</v>
      </c>
      <c r="G30" s="451" t="e">
        <f t="shared" ref="G30:T30" si="20">G33+G37+G38+G39+G46</f>
        <v>#REF!</v>
      </c>
      <c r="H30" s="451" t="e">
        <f t="shared" si="20"/>
        <v>#REF!</v>
      </c>
      <c r="I30" s="487">
        <f t="shared" si="20"/>
        <v>19269.711833333335</v>
      </c>
      <c r="J30" s="489">
        <f t="shared" si="20"/>
        <v>1616.5923399999997</v>
      </c>
      <c r="K30" s="489">
        <f t="shared" si="20"/>
        <v>1044.2828400000001</v>
      </c>
      <c r="L30" s="489">
        <f t="shared" si="20"/>
        <v>1536.60509</v>
      </c>
      <c r="M30" s="499">
        <f t="shared" si="20"/>
        <v>4197.4802700000009</v>
      </c>
      <c r="N30" s="487">
        <f t="shared" si="20"/>
        <v>2048.7068399999998</v>
      </c>
      <c r="O30" s="487">
        <f t="shared" si="20"/>
        <v>1618.6205399999999</v>
      </c>
      <c r="P30" s="487">
        <f t="shared" si="20"/>
        <v>3006.9665800000002</v>
      </c>
      <c r="Q30" s="488">
        <f t="shared" si="20"/>
        <v>10871.774230000001</v>
      </c>
      <c r="R30" s="490">
        <f t="shared" si="20"/>
        <v>2132.2693200000003</v>
      </c>
      <c r="S30" s="490">
        <f t="shared" si="20"/>
        <v>2332.25036</v>
      </c>
      <c r="T30" s="490">
        <f t="shared" si="20"/>
        <v>1786.9976399999998</v>
      </c>
      <c r="U30" s="491">
        <f>U33+U37+U38+U39+U46</f>
        <v>22195.61</v>
      </c>
      <c r="V30" s="495">
        <f>V33+V37+V38+V39+V46</f>
        <v>5215.201</v>
      </c>
      <c r="W30" s="465">
        <f>W33+W37+W38+W39+W46</f>
        <v>-16980.409</v>
      </c>
      <c r="X30" s="459">
        <f t="shared" si="2"/>
        <v>-76.50345721518805</v>
      </c>
      <c r="Y30" s="469"/>
    </row>
    <row r="31" spans="1:25" s="282" customFormat="1" ht="15" customHeight="1">
      <c r="A31" s="446" t="s">
        <v>285</v>
      </c>
      <c r="B31" s="455" t="s">
        <v>475</v>
      </c>
      <c r="C31" s="446" t="s">
        <v>6</v>
      </c>
      <c r="D31" s="451"/>
      <c r="E31" s="451"/>
      <c r="F31" s="451"/>
      <c r="G31" s="500"/>
      <c r="H31" s="500"/>
      <c r="I31" s="472"/>
      <c r="J31" s="489"/>
      <c r="K31" s="489"/>
      <c r="L31" s="489"/>
      <c r="M31" s="499"/>
      <c r="N31" s="489"/>
      <c r="O31" s="487"/>
      <c r="P31" s="487"/>
      <c r="Q31" s="488"/>
      <c r="R31" s="487"/>
      <c r="S31" s="487"/>
      <c r="T31" s="487"/>
      <c r="U31" s="491"/>
      <c r="V31" s="465"/>
      <c r="W31" s="501"/>
      <c r="X31" s="459"/>
      <c r="Y31" s="469"/>
    </row>
    <row r="32" spans="1:25" ht="15" hidden="1" customHeight="1">
      <c r="A32" s="468"/>
      <c r="B32" s="469" t="s">
        <v>476</v>
      </c>
      <c r="C32" s="468" t="s">
        <v>6</v>
      </c>
      <c r="D32" s="470"/>
      <c r="E32" s="471"/>
      <c r="F32" s="470"/>
      <c r="G32" s="471"/>
      <c r="H32" s="471"/>
      <c r="I32" s="472"/>
      <c r="J32" s="473"/>
      <c r="K32" s="473"/>
      <c r="L32" s="473"/>
      <c r="M32" s="499"/>
      <c r="N32" s="473"/>
      <c r="O32" s="472"/>
      <c r="P32" s="472"/>
      <c r="Q32" s="488"/>
      <c r="R32" s="472"/>
      <c r="S32" s="472"/>
      <c r="T32" s="472"/>
      <c r="U32" s="491"/>
      <c r="V32" s="465"/>
      <c r="W32" s="479"/>
      <c r="X32" s="459" t="e">
        <f t="shared" si="2"/>
        <v>#DIV/0!</v>
      </c>
      <c r="Y32" s="469" t="s">
        <v>573</v>
      </c>
    </row>
    <row r="33" spans="1:25" s="282" customFormat="1" ht="18" customHeight="1">
      <c r="A33" s="446" t="s">
        <v>29</v>
      </c>
      <c r="B33" s="455" t="s">
        <v>18</v>
      </c>
      <c r="C33" s="446" t="s">
        <v>6</v>
      </c>
      <c r="D33" s="451">
        <f t="shared" ref="D33:V33" si="21">SUM(D34:D36)</f>
        <v>12439.51</v>
      </c>
      <c r="E33" s="451">
        <f t="shared" si="21"/>
        <v>2535.3070277540246</v>
      </c>
      <c r="F33" s="451">
        <f t="shared" si="21"/>
        <v>12993.320000000002</v>
      </c>
      <c r="G33" s="451" t="e">
        <f t="shared" si="21"/>
        <v>#REF!</v>
      </c>
      <c r="H33" s="451" t="e">
        <f t="shared" si="21"/>
        <v>#REF!</v>
      </c>
      <c r="I33" s="487">
        <f t="shared" si="21"/>
        <v>12762.565833333334</v>
      </c>
      <c r="J33" s="487">
        <f t="shared" si="21"/>
        <v>943.83749999999986</v>
      </c>
      <c r="K33" s="487">
        <f t="shared" si="21"/>
        <v>970.47300000000007</v>
      </c>
      <c r="L33" s="487">
        <f t="shared" si="21"/>
        <v>1119.7445</v>
      </c>
      <c r="M33" s="499">
        <f t="shared" si="21"/>
        <v>3034.0550000000003</v>
      </c>
      <c r="N33" s="487">
        <f t="shared" si="21"/>
        <v>971.88599999999997</v>
      </c>
      <c r="O33" s="487">
        <f t="shared" si="21"/>
        <v>993.24749999999995</v>
      </c>
      <c r="P33" s="487">
        <f t="shared" si="21"/>
        <v>1893.6534999999999</v>
      </c>
      <c r="Q33" s="488">
        <f t="shared" si="21"/>
        <v>6892.8420000000006</v>
      </c>
      <c r="R33" s="490">
        <f t="shared" si="21"/>
        <v>1058.76125</v>
      </c>
      <c r="S33" s="490">
        <f t="shared" si="21"/>
        <v>1072.0452500000001</v>
      </c>
      <c r="T33" s="490">
        <f t="shared" si="21"/>
        <v>1446.9232</v>
      </c>
      <c r="U33" s="491">
        <f t="shared" si="21"/>
        <v>15145.65</v>
      </c>
      <c r="V33" s="465">
        <f t="shared" si="21"/>
        <v>4395.5630000000001</v>
      </c>
      <c r="W33" s="465">
        <f t="shared" ref="W33" si="22">SUM(W34:W36)</f>
        <v>-10750.087</v>
      </c>
      <c r="X33" s="459">
        <f t="shared" si="2"/>
        <v>-70.978049803078761</v>
      </c>
      <c r="Y33" s="469"/>
    </row>
    <row r="34" spans="1:25" ht="33.75" customHeight="1">
      <c r="A34" s="468" t="s">
        <v>429</v>
      </c>
      <c r="B34" s="469" t="s">
        <v>45</v>
      </c>
      <c r="C34" s="468" t="s">
        <v>6</v>
      </c>
      <c r="D34" s="470">
        <v>11325.52</v>
      </c>
      <c r="E34" s="471">
        <f>D34*$E$69</f>
        <v>2308.2637860308614</v>
      </c>
      <c r="F34" s="470">
        <v>11705.7</v>
      </c>
      <c r="G34" s="471" t="e">
        <f>F34*$G$69</f>
        <v>#REF!</v>
      </c>
      <c r="H34" s="471" t="e">
        <f>E34+G34</f>
        <v>#REF!</v>
      </c>
      <c r="I34" s="472">
        <f>(D34/12*5)+(F34/12*7)</f>
        <v>11547.291666666668</v>
      </c>
      <c r="J34" s="473">
        <v>858.81399999999996</v>
      </c>
      <c r="K34" s="481">
        <v>895.81200000000001</v>
      </c>
      <c r="L34" s="473">
        <v>1018.875</v>
      </c>
      <c r="M34" s="474">
        <f>J34+K34+L34</f>
        <v>2773.5010000000002</v>
      </c>
      <c r="N34" s="473">
        <v>884.33500000000004</v>
      </c>
      <c r="O34" s="472">
        <v>903.77300000000002</v>
      </c>
      <c r="P34" s="472">
        <v>1723.07</v>
      </c>
      <c r="Q34" s="476">
        <f>M34+N34+O34+P34</f>
        <v>6284.6790000000001</v>
      </c>
      <c r="R34" s="472">
        <v>963.38599999999997</v>
      </c>
      <c r="S34" s="472">
        <v>975.47400000000005</v>
      </c>
      <c r="T34" s="472">
        <v>1316.5809999999999</v>
      </c>
      <c r="U34" s="483">
        <v>13781.3</v>
      </c>
      <c r="V34" s="478">
        <v>3999.6030000000001</v>
      </c>
      <c r="W34" s="479">
        <f t="shared" ref="W34:W38" si="23">V34-U34</f>
        <v>-9781.6970000000001</v>
      </c>
      <c r="X34" s="459">
        <f t="shared" si="2"/>
        <v>-70.978042710049124</v>
      </c>
      <c r="Y34" s="469" t="s">
        <v>579</v>
      </c>
    </row>
    <row r="35" spans="1:25" ht="33.75" customHeight="1">
      <c r="A35" s="468" t="s">
        <v>430</v>
      </c>
      <c r="B35" s="469" t="s">
        <v>22</v>
      </c>
      <c r="C35" s="468" t="s">
        <v>6</v>
      </c>
      <c r="D35" s="470">
        <v>608.89</v>
      </c>
      <c r="E35" s="471">
        <f>D35*$E$69</f>
        <v>124.09838459305455</v>
      </c>
      <c r="F35" s="470">
        <v>702.34</v>
      </c>
      <c r="G35" s="471" t="e">
        <f>F35*$G$69</f>
        <v>#REF!</v>
      </c>
      <c r="H35" s="471" t="e">
        <f>E35+G35</f>
        <v>#REF!</v>
      </c>
      <c r="I35" s="472">
        <f>(D35/12*5)+(F35/12*7)</f>
        <v>663.40250000000003</v>
      </c>
      <c r="J35" s="473">
        <v>46.377000000000002</v>
      </c>
      <c r="K35" s="481">
        <v>40.725000000000001</v>
      </c>
      <c r="L35" s="473">
        <v>55.02</v>
      </c>
      <c r="M35" s="474">
        <f>J35+K35+L35</f>
        <v>142.12200000000001</v>
      </c>
      <c r="N35" s="473">
        <v>47.756</v>
      </c>
      <c r="O35" s="472">
        <v>48.805</v>
      </c>
      <c r="P35" s="472">
        <v>96.326999999999998</v>
      </c>
      <c r="Q35" s="476">
        <f>M35+N35+O35+P35</f>
        <v>335.01</v>
      </c>
      <c r="R35" s="472">
        <v>52.023000000000003</v>
      </c>
      <c r="S35" s="472">
        <v>52.674999999999997</v>
      </c>
      <c r="T35" s="472">
        <v>71.096000000000004</v>
      </c>
      <c r="U35" s="483">
        <v>744.19</v>
      </c>
      <c r="V35" s="478">
        <v>215.97800000000001</v>
      </c>
      <c r="W35" s="479">
        <f t="shared" si="23"/>
        <v>-528.21199999999999</v>
      </c>
      <c r="X35" s="459">
        <f t="shared" si="2"/>
        <v>-70.978110428788341</v>
      </c>
      <c r="Y35" s="469" t="s">
        <v>579</v>
      </c>
    </row>
    <row r="36" spans="1:25" ht="33.75" customHeight="1">
      <c r="A36" s="468" t="s">
        <v>431</v>
      </c>
      <c r="B36" s="469" t="s">
        <v>46</v>
      </c>
      <c r="C36" s="468" t="s">
        <v>6</v>
      </c>
      <c r="D36" s="470">
        <v>505.1</v>
      </c>
      <c r="E36" s="471">
        <f>D36*$E$69</f>
        <v>102.94485713010864</v>
      </c>
      <c r="F36" s="470">
        <v>585.28</v>
      </c>
      <c r="G36" s="471" t="e">
        <f>F36*$G$69</f>
        <v>#REF!</v>
      </c>
      <c r="H36" s="471" t="e">
        <f>E36+G36</f>
        <v>#REF!</v>
      </c>
      <c r="I36" s="472">
        <f>(D36/12*5)+(F36/12*7)</f>
        <v>551.87166666666667</v>
      </c>
      <c r="J36" s="473">
        <v>38.646500000000003</v>
      </c>
      <c r="K36" s="481">
        <v>33.936</v>
      </c>
      <c r="L36" s="473">
        <v>45.849499999999999</v>
      </c>
      <c r="M36" s="474">
        <f>J36+K36+L36</f>
        <v>118.43200000000002</v>
      </c>
      <c r="N36" s="473">
        <v>39.795000000000002</v>
      </c>
      <c r="O36" s="472">
        <v>40.669499999999999</v>
      </c>
      <c r="P36" s="472">
        <v>74.256500000000003</v>
      </c>
      <c r="Q36" s="476">
        <f>M36+N36+O36+P36</f>
        <v>273.15300000000002</v>
      </c>
      <c r="R36" s="472">
        <v>43.352249999999998</v>
      </c>
      <c r="S36" s="472">
        <v>43.896250000000002</v>
      </c>
      <c r="T36" s="472">
        <v>59.246200000000002</v>
      </c>
      <c r="U36" s="483">
        <v>620.16</v>
      </c>
      <c r="V36" s="478">
        <v>179.982</v>
      </c>
      <c r="W36" s="479">
        <f t="shared" si="23"/>
        <v>-440.178</v>
      </c>
      <c r="X36" s="459">
        <f t="shared" si="2"/>
        <v>-70.9781346749226</v>
      </c>
      <c r="Y36" s="469" t="s">
        <v>579</v>
      </c>
    </row>
    <row r="37" spans="1:25" s="282" customFormat="1" ht="36" customHeight="1">
      <c r="A37" s="502" t="s">
        <v>31</v>
      </c>
      <c r="B37" s="455" t="s">
        <v>477</v>
      </c>
      <c r="C37" s="446" t="s">
        <v>6</v>
      </c>
      <c r="D37" s="446">
        <v>50.87</v>
      </c>
      <c r="E37" s="448">
        <f>D37*$E$69</f>
        <v>10.36785761672664</v>
      </c>
      <c r="F37" s="446">
        <v>25</v>
      </c>
      <c r="G37" s="471" t="e">
        <f>F37*$G$69</f>
        <v>#REF!</v>
      </c>
      <c r="H37" s="471" t="e">
        <f>E37+G37</f>
        <v>#REF!</v>
      </c>
      <c r="I37" s="487">
        <f>(D37/12*5)+(F37/12*7)</f>
        <v>35.779166666666669</v>
      </c>
      <c r="J37" s="461">
        <v>0</v>
      </c>
      <c r="K37" s="464">
        <v>0</v>
      </c>
      <c r="L37" s="461">
        <v>13.76</v>
      </c>
      <c r="M37" s="499">
        <f>J37+K37+L37</f>
        <v>13.76</v>
      </c>
      <c r="N37" s="489">
        <v>0</v>
      </c>
      <c r="O37" s="487">
        <v>37.390999999999998</v>
      </c>
      <c r="P37" s="487">
        <v>20</v>
      </c>
      <c r="Q37" s="488">
        <f>M37+N37+O37+P37</f>
        <v>71.150999999999996</v>
      </c>
      <c r="R37" s="487">
        <v>0</v>
      </c>
      <c r="S37" s="487">
        <v>0</v>
      </c>
      <c r="T37" s="487">
        <v>0</v>
      </c>
      <c r="U37" s="491">
        <v>75.650000000000006</v>
      </c>
      <c r="V37" s="465">
        <v>60.463999999999999</v>
      </c>
      <c r="W37" s="479">
        <f t="shared" si="23"/>
        <v>-15.186000000000007</v>
      </c>
      <c r="X37" s="459">
        <f t="shared" si="2"/>
        <v>-20.074025115664256</v>
      </c>
      <c r="Y37" s="469" t="s">
        <v>579</v>
      </c>
    </row>
    <row r="38" spans="1:25" s="282" customFormat="1" ht="36" customHeight="1">
      <c r="A38" s="502" t="s">
        <v>33</v>
      </c>
      <c r="B38" s="455" t="s">
        <v>523</v>
      </c>
      <c r="C38" s="446" t="s">
        <v>6</v>
      </c>
      <c r="D38" s="451">
        <v>49.8</v>
      </c>
      <c r="E38" s="500">
        <f>D38*$E$69</f>
        <v>10.149780014015858</v>
      </c>
      <c r="F38" s="451">
        <v>49.5</v>
      </c>
      <c r="G38" s="471" t="e">
        <f>F38*$G$69</f>
        <v>#REF!</v>
      </c>
      <c r="H38" s="471" t="e">
        <f>E38+G38</f>
        <v>#REF!</v>
      </c>
      <c r="I38" s="487">
        <f>(D38/12*5)+(F38/12*7)</f>
        <v>49.625</v>
      </c>
      <c r="J38" s="489">
        <v>5.4702000000000002</v>
      </c>
      <c r="K38" s="489">
        <v>5.4702000000000002</v>
      </c>
      <c r="L38" s="489">
        <v>5.4702000000000002</v>
      </c>
      <c r="M38" s="499">
        <f>J38+K38+L38</f>
        <v>16.410600000000002</v>
      </c>
      <c r="N38" s="489">
        <v>5.4702000000000002</v>
      </c>
      <c r="O38" s="487">
        <v>5.4702000000000002</v>
      </c>
      <c r="P38" s="487">
        <v>5.4702000000000002</v>
      </c>
      <c r="Q38" s="488">
        <f>M38+N38+O38+P38</f>
        <v>32.821199999999997</v>
      </c>
      <c r="R38" s="487">
        <v>0</v>
      </c>
      <c r="S38" s="487">
        <v>11.674799999999999</v>
      </c>
      <c r="T38" s="487">
        <v>5.8373999999999997</v>
      </c>
      <c r="U38" s="491">
        <v>43.12</v>
      </c>
      <c r="V38" s="465">
        <v>27.902999999999999</v>
      </c>
      <c r="W38" s="479">
        <f t="shared" si="23"/>
        <v>-15.216999999999999</v>
      </c>
      <c r="X38" s="459">
        <f t="shared" si="2"/>
        <v>-35.289888682745826</v>
      </c>
      <c r="Y38" s="469" t="s">
        <v>579</v>
      </c>
    </row>
    <row r="39" spans="1:25" s="282" customFormat="1" ht="31.5" customHeight="1">
      <c r="A39" s="502" t="s">
        <v>35</v>
      </c>
      <c r="B39" s="455" t="s">
        <v>478</v>
      </c>
      <c r="C39" s="446" t="s">
        <v>6</v>
      </c>
      <c r="D39" s="451">
        <f>SUM(D40:D45)</f>
        <v>5206.6299999999992</v>
      </c>
      <c r="E39" s="451">
        <f>SUM(E40:E45)</f>
        <v>1061.167652899104</v>
      </c>
      <c r="F39" s="451">
        <f t="shared" ref="F39:T39" si="24">SUM(F40:F45)</f>
        <v>3542.5200000000004</v>
      </c>
      <c r="G39" s="451" t="e">
        <f t="shared" si="24"/>
        <v>#REF!</v>
      </c>
      <c r="H39" s="451" t="e">
        <f t="shared" si="24"/>
        <v>#REF!</v>
      </c>
      <c r="I39" s="487">
        <f>SUM(I40:I45)</f>
        <v>4235.899166666667</v>
      </c>
      <c r="J39" s="487">
        <f t="shared" si="24"/>
        <v>0</v>
      </c>
      <c r="K39" s="487">
        <f t="shared" si="24"/>
        <v>37.74</v>
      </c>
      <c r="L39" s="487">
        <f t="shared" si="24"/>
        <v>46.906999999999996</v>
      </c>
      <c r="M39" s="499">
        <f t="shared" si="24"/>
        <v>84.646999999999991</v>
      </c>
      <c r="N39" s="487">
        <f t="shared" si="24"/>
        <v>290.26</v>
      </c>
      <c r="O39" s="487">
        <f t="shared" si="24"/>
        <v>554.18039999999996</v>
      </c>
      <c r="P39" s="487">
        <f t="shared" si="24"/>
        <v>934.47260000000006</v>
      </c>
      <c r="Q39" s="488">
        <f t="shared" si="24"/>
        <v>1863.5599999999997</v>
      </c>
      <c r="R39" s="490">
        <f t="shared" si="24"/>
        <v>946.11199999999997</v>
      </c>
      <c r="S39" s="490">
        <f t="shared" si="24"/>
        <v>1207.6856</v>
      </c>
      <c r="T39" s="490">
        <f t="shared" si="24"/>
        <v>275.6284</v>
      </c>
      <c r="U39" s="491">
        <f>SUM(U40:U45)</f>
        <v>4325.5599999999995</v>
      </c>
      <c r="V39" s="465">
        <f>SUM(V40:V45)</f>
        <v>56.567</v>
      </c>
      <c r="W39" s="465">
        <f t="shared" ref="W39" si="25">SUM(W40:W45)</f>
        <v>-4268.9930000000004</v>
      </c>
      <c r="X39" s="459">
        <f t="shared" si="2"/>
        <v>-98.69226181118745</v>
      </c>
      <c r="Y39" s="469"/>
    </row>
    <row r="40" spans="1:25" s="284" customFormat="1" ht="30.75" customHeight="1">
      <c r="A40" s="496" t="s">
        <v>434</v>
      </c>
      <c r="B40" s="469" t="s">
        <v>51</v>
      </c>
      <c r="C40" s="493" t="s">
        <v>6</v>
      </c>
      <c r="D40" s="494">
        <v>4123.7299999999996</v>
      </c>
      <c r="E40" s="471">
        <f t="shared" ref="E40:E45" si="26">D40*$E$69</f>
        <v>840.46089030517294</v>
      </c>
      <c r="F40" s="494">
        <v>2922.35</v>
      </c>
      <c r="G40" s="471" t="e">
        <f t="shared" ref="G40:G45" si="27">F40*$G$69</f>
        <v>#REF!</v>
      </c>
      <c r="H40" s="471" t="e">
        <f t="shared" ref="H40:H45" si="28">E40+G40</f>
        <v>#REF!</v>
      </c>
      <c r="I40" s="472">
        <f t="shared" ref="I40:I45" si="29">(D40/12*5)+(F40/12*7)</f>
        <v>3422.9250000000002</v>
      </c>
      <c r="J40" s="485">
        <v>0</v>
      </c>
      <c r="K40" s="485">
        <v>0</v>
      </c>
      <c r="L40" s="481">
        <v>29.826000000000001</v>
      </c>
      <c r="M40" s="476">
        <f t="shared" ref="M40:M45" si="30">J40+K40+L40</f>
        <v>29.826000000000001</v>
      </c>
      <c r="N40" s="481">
        <v>290.26</v>
      </c>
      <c r="O40" s="475">
        <v>554.18039999999996</v>
      </c>
      <c r="P40" s="475">
        <v>613.16160000000002</v>
      </c>
      <c r="Q40" s="476">
        <f t="shared" ref="Q40:Q45" si="31">M40+N40+O40+P40</f>
        <v>1487.4279999999999</v>
      </c>
      <c r="R40" s="475">
        <v>933.38599999999997</v>
      </c>
      <c r="S40" s="475">
        <v>1169.9456</v>
      </c>
      <c r="T40" s="475">
        <v>266.50540000000001</v>
      </c>
      <c r="U40" s="483">
        <v>3827.2</v>
      </c>
      <c r="V40" s="478">
        <v>6.891</v>
      </c>
      <c r="W40" s="177">
        <f t="shared" ref="W40:W45" si="32">V40-U40</f>
        <v>-3820.3089999999997</v>
      </c>
      <c r="X40" s="459">
        <f t="shared" si="2"/>
        <v>-99.819946697324411</v>
      </c>
      <c r="Y40" s="469" t="s">
        <v>579</v>
      </c>
    </row>
    <row r="41" spans="1:25" s="284" customFormat="1" ht="30.75" customHeight="1">
      <c r="A41" s="496" t="s">
        <v>435</v>
      </c>
      <c r="B41" s="469" t="s">
        <v>34</v>
      </c>
      <c r="C41" s="493" t="s">
        <v>6</v>
      </c>
      <c r="D41" s="494">
        <v>144.22999999999999</v>
      </c>
      <c r="E41" s="471">
        <f t="shared" si="26"/>
        <v>29.395637980351552</v>
      </c>
      <c r="F41" s="494">
        <v>190.44</v>
      </c>
      <c r="G41" s="471" t="e">
        <f t="shared" si="27"/>
        <v>#REF!</v>
      </c>
      <c r="H41" s="471" t="e">
        <f t="shared" si="28"/>
        <v>#REF!</v>
      </c>
      <c r="I41" s="472">
        <f t="shared" si="29"/>
        <v>171.18583333333331</v>
      </c>
      <c r="J41" s="485">
        <v>0</v>
      </c>
      <c r="K41" s="485">
        <v>0</v>
      </c>
      <c r="L41" s="481">
        <v>17.081</v>
      </c>
      <c r="M41" s="476">
        <f t="shared" si="30"/>
        <v>17.081</v>
      </c>
      <c r="N41" s="481">
        <v>0</v>
      </c>
      <c r="O41" s="475">
        <v>0</v>
      </c>
      <c r="P41" s="475">
        <v>12.097</v>
      </c>
      <c r="Q41" s="476">
        <f t="shared" si="31"/>
        <v>29.177999999999997</v>
      </c>
      <c r="R41" s="475">
        <v>0</v>
      </c>
      <c r="S41" s="475">
        <v>0</v>
      </c>
      <c r="T41" s="475">
        <v>9.1229999999999993</v>
      </c>
      <c r="U41" s="483">
        <v>63.2</v>
      </c>
      <c r="V41" s="478">
        <v>11.936</v>
      </c>
      <c r="W41" s="177">
        <f t="shared" si="32"/>
        <v>-51.264000000000003</v>
      </c>
      <c r="X41" s="459">
        <f t="shared" si="2"/>
        <v>-81.113924050632917</v>
      </c>
      <c r="Y41" s="469" t="s">
        <v>579</v>
      </c>
    </row>
    <row r="42" spans="1:25" s="284" customFormat="1" ht="30.75" customHeight="1">
      <c r="A42" s="496" t="s">
        <v>436</v>
      </c>
      <c r="B42" s="469" t="s">
        <v>479</v>
      </c>
      <c r="C42" s="493" t="s">
        <v>6</v>
      </c>
      <c r="D42" s="494">
        <v>0</v>
      </c>
      <c r="E42" s="471">
        <f t="shared" si="26"/>
        <v>0</v>
      </c>
      <c r="F42" s="494">
        <v>0</v>
      </c>
      <c r="G42" s="471" t="e">
        <f t="shared" si="27"/>
        <v>#REF!</v>
      </c>
      <c r="H42" s="471" t="e">
        <f t="shared" si="28"/>
        <v>#REF!</v>
      </c>
      <c r="I42" s="472">
        <f t="shared" si="29"/>
        <v>0</v>
      </c>
      <c r="J42" s="485">
        <v>0</v>
      </c>
      <c r="K42" s="485">
        <v>0</v>
      </c>
      <c r="L42" s="481">
        <v>0</v>
      </c>
      <c r="M42" s="476">
        <f t="shared" si="30"/>
        <v>0</v>
      </c>
      <c r="N42" s="481">
        <v>0</v>
      </c>
      <c r="O42" s="475">
        <v>0</v>
      </c>
      <c r="P42" s="475">
        <v>0</v>
      </c>
      <c r="Q42" s="476">
        <f t="shared" si="31"/>
        <v>0</v>
      </c>
      <c r="R42" s="475">
        <v>12.726000000000001</v>
      </c>
      <c r="S42" s="475">
        <v>0</v>
      </c>
      <c r="T42" s="475">
        <v>0</v>
      </c>
      <c r="U42" s="483">
        <v>84.2</v>
      </c>
      <c r="V42" s="478">
        <v>0</v>
      </c>
      <c r="W42" s="177">
        <f t="shared" si="32"/>
        <v>-84.2</v>
      </c>
      <c r="X42" s="459">
        <f t="shared" si="2"/>
        <v>-100</v>
      </c>
      <c r="Y42" s="469" t="s">
        <v>579</v>
      </c>
    </row>
    <row r="43" spans="1:25" ht="30.75" customHeight="1">
      <c r="A43" s="496" t="s">
        <v>437</v>
      </c>
      <c r="B43" s="469" t="s">
        <v>480</v>
      </c>
      <c r="C43" s="468" t="s">
        <v>6</v>
      </c>
      <c r="D43" s="468">
        <v>253.62</v>
      </c>
      <c r="E43" s="484">
        <f t="shared" si="26"/>
        <v>51.690506167765108</v>
      </c>
      <c r="F43" s="468">
        <v>19.46</v>
      </c>
      <c r="G43" s="471" t="e">
        <f t="shared" si="27"/>
        <v>#REF!</v>
      </c>
      <c r="H43" s="471" t="e">
        <f t="shared" si="28"/>
        <v>#REF!</v>
      </c>
      <c r="I43" s="472">
        <f t="shared" si="29"/>
        <v>117.02666666666669</v>
      </c>
      <c r="J43" s="486">
        <v>0</v>
      </c>
      <c r="K43" s="486">
        <v>5.1639999999999997</v>
      </c>
      <c r="L43" s="486">
        <v>0</v>
      </c>
      <c r="M43" s="474">
        <f t="shared" si="30"/>
        <v>5.1639999999999997</v>
      </c>
      <c r="N43" s="473">
        <v>0</v>
      </c>
      <c r="O43" s="472">
        <v>0</v>
      </c>
      <c r="P43" s="472">
        <v>5.1639999999999997</v>
      </c>
      <c r="Q43" s="476">
        <f t="shared" si="31"/>
        <v>10.327999999999999</v>
      </c>
      <c r="R43" s="472">
        <v>0</v>
      </c>
      <c r="S43" s="472">
        <v>5.1639999999999997</v>
      </c>
      <c r="T43" s="472">
        <v>0</v>
      </c>
      <c r="U43" s="483">
        <v>20.66</v>
      </c>
      <c r="V43" s="478">
        <v>5.1639999999999997</v>
      </c>
      <c r="W43" s="177">
        <f t="shared" si="32"/>
        <v>-15.496</v>
      </c>
      <c r="X43" s="459">
        <f t="shared" si="2"/>
        <v>-75.004840271055173</v>
      </c>
      <c r="Y43" s="469" t="s">
        <v>579</v>
      </c>
    </row>
    <row r="44" spans="1:25" ht="30.75" customHeight="1">
      <c r="A44" s="496" t="s">
        <v>481</v>
      </c>
      <c r="B44" s="469" t="s">
        <v>482</v>
      </c>
      <c r="C44" s="468" t="s">
        <v>6</v>
      </c>
      <c r="D44" s="468">
        <v>193.53</v>
      </c>
      <c r="E44" s="484">
        <f t="shared" si="26"/>
        <v>39.443512572539944</v>
      </c>
      <c r="F44" s="468">
        <v>130.30000000000001</v>
      </c>
      <c r="G44" s="471" t="e">
        <f t="shared" si="27"/>
        <v>#REF!</v>
      </c>
      <c r="H44" s="471" t="e">
        <f t="shared" si="28"/>
        <v>#REF!</v>
      </c>
      <c r="I44" s="472">
        <f t="shared" si="29"/>
        <v>156.64583333333334</v>
      </c>
      <c r="J44" s="486">
        <v>0</v>
      </c>
      <c r="K44" s="486">
        <v>32.576000000000001</v>
      </c>
      <c r="L44" s="486">
        <v>0</v>
      </c>
      <c r="M44" s="474">
        <f t="shared" si="30"/>
        <v>32.576000000000001</v>
      </c>
      <c r="N44" s="473">
        <v>0</v>
      </c>
      <c r="O44" s="472">
        <v>0</v>
      </c>
      <c r="P44" s="472">
        <v>32.576000000000001</v>
      </c>
      <c r="Q44" s="476">
        <f t="shared" si="31"/>
        <v>65.152000000000001</v>
      </c>
      <c r="R44" s="472">
        <v>0</v>
      </c>
      <c r="S44" s="472">
        <v>32.576000000000001</v>
      </c>
      <c r="T44" s="472">
        <v>0</v>
      </c>
      <c r="U44" s="483">
        <v>130.30000000000001</v>
      </c>
      <c r="V44" s="478">
        <v>32.576000000000001</v>
      </c>
      <c r="W44" s="177">
        <f t="shared" si="32"/>
        <v>-97.724000000000018</v>
      </c>
      <c r="X44" s="459">
        <f t="shared" si="2"/>
        <v>-74.999232540291644</v>
      </c>
      <c r="Y44" s="469" t="s">
        <v>579</v>
      </c>
    </row>
    <row r="45" spans="1:25" ht="30.75" customHeight="1">
      <c r="A45" s="496" t="s">
        <v>483</v>
      </c>
      <c r="B45" s="469" t="s">
        <v>484</v>
      </c>
      <c r="C45" s="468" t="s">
        <v>6</v>
      </c>
      <c r="D45" s="468">
        <v>491.52</v>
      </c>
      <c r="E45" s="484">
        <f t="shared" si="26"/>
        <v>100.1771058732746</v>
      </c>
      <c r="F45" s="468">
        <v>279.97000000000003</v>
      </c>
      <c r="G45" s="471" t="e">
        <f t="shared" si="27"/>
        <v>#REF!</v>
      </c>
      <c r="H45" s="471" t="e">
        <f t="shared" si="28"/>
        <v>#REF!</v>
      </c>
      <c r="I45" s="472">
        <f t="shared" si="29"/>
        <v>368.11583333333334</v>
      </c>
      <c r="J45" s="486">
        <v>0</v>
      </c>
      <c r="K45" s="486">
        <v>0</v>
      </c>
      <c r="L45" s="486">
        <v>0</v>
      </c>
      <c r="M45" s="474">
        <f t="shared" si="30"/>
        <v>0</v>
      </c>
      <c r="N45" s="473">
        <v>0</v>
      </c>
      <c r="O45" s="472">
        <v>0</v>
      </c>
      <c r="P45" s="472">
        <v>271.47399999999999</v>
      </c>
      <c r="Q45" s="476">
        <f t="shared" si="31"/>
        <v>271.47399999999999</v>
      </c>
      <c r="R45" s="472">
        <v>0</v>
      </c>
      <c r="S45" s="472">
        <v>0</v>
      </c>
      <c r="T45" s="472">
        <v>0</v>
      </c>
      <c r="U45" s="483">
        <v>200</v>
      </c>
      <c r="V45" s="478">
        <v>0</v>
      </c>
      <c r="W45" s="177">
        <f t="shared" si="32"/>
        <v>-200</v>
      </c>
      <c r="X45" s="459">
        <f t="shared" si="2"/>
        <v>-100</v>
      </c>
      <c r="Y45" s="469" t="s">
        <v>579</v>
      </c>
    </row>
    <row r="46" spans="1:25" s="282" customFormat="1" ht="15" customHeight="1">
      <c r="A46" s="502" t="s">
        <v>36</v>
      </c>
      <c r="B46" s="455" t="s">
        <v>54</v>
      </c>
      <c r="C46" s="446" t="s">
        <v>6</v>
      </c>
      <c r="D46" s="451">
        <f>SUM(D47:D51)</f>
        <v>2241.9499999999998</v>
      </c>
      <c r="E46" s="451">
        <f>SUM(E47:E51)</f>
        <v>456.93372093218579</v>
      </c>
      <c r="F46" s="451">
        <f>F47+F48+F51</f>
        <v>2145.7660000000001</v>
      </c>
      <c r="G46" s="451" t="e">
        <f>G47+G48+G51</f>
        <v>#REF!</v>
      </c>
      <c r="H46" s="451" t="e">
        <f>H47+H48+H51</f>
        <v>#REF!</v>
      </c>
      <c r="I46" s="487">
        <f>I47+I48+I51</f>
        <v>2185.8426666666669</v>
      </c>
      <c r="J46" s="487">
        <f t="shared" ref="J46:V46" si="33">SUM(J47:J51)</f>
        <v>667.28463999999997</v>
      </c>
      <c r="K46" s="487">
        <f t="shared" si="33"/>
        <v>30.599640000000001</v>
      </c>
      <c r="L46" s="487">
        <f t="shared" si="33"/>
        <v>350.72338999999999</v>
      </c>
      <c r="M46" s="499">
        <f t="shared" si="33"/>
        <v>1048.6076700000001</v>
      </c>
      <c r="N46" s="487">
        <f t="shared" si="33"/>
        <v>781.09064000000001</v>
      </c>
      <c r="O46" s="487">
        <f t="shared" si="33"/>
        <v>28.331440000000001</v>
      </c>
      <c r="P46" s="487">
        <f t="shared" si="33"/>
        <v>153.37028000000001</v>
      </c>
      <c r="Q46" s="488">
        <f t="shared" si="33"/>
        <v>2011.4000300000002</v>
      </c>
      <c r="R46" s="490">
        <f t="shared" si="33"/>
        <v>127.39607000000001</v>
      </c>
      <c r="S46" s="490">
        <f t="shared" si="33"/>
        <v>40.844709999999999</v>
      </c>
      <c r="T46" s="490">
        <f t="shared" si="33"/>
        <v>58.608640000000001</v>
      </c>
      <c r="U46" s="491">
        <f t="shared" si="33"/>
        <v>2605.63</v>
      </c>
      <c r="V46" s="465">
        <f t="shared" si="33"/>
        <v>674.70399999999995</v>
      </c>
      <c r="W46" s="465">
        <f t="shared" ref="W46" si="34">SUM(W47:W51)</f>
        <v>-1930.9259999999999</v>
      </c>
      <c r="X46" s="459">
        <f t="shared" si="2"/>
        <v>-74.105916803229931</v>
      </c>
      <c r="Y46" s="469"/>
    </row>
    <row r="47" spans="1:25" ht="30.75" customHeight="1">
      <c r="A47" s="503" t="s">
        <v>485</v>
      </c>
      <c r="B47" s="469" t="s">
        <v>119</v>
      </c>
      <c r="C47" s="468" t="s">
        <v>6</v>
      </c>
      <c r="D47" s="468">
        <v>1520.35</v>
      </c>
      <c r="E47" s="484">
        <f>D47*$E$69</f>
        <v>309.86381615078335</v>
      </c>
      <c r="F47" s="468">
        <v>1519.94</v>
      </c>
      <c r="G47" s="471" t="e">
        <f>F47*$G$69</f>
        <v>#REF!</v>
      </c>
      <c r="H47" s="471" t="e">
        <f>E47+G47</f>
        <v>#REF!</v>
      </c>
      <c r="I47" s="472">
        <f>(D47/12*5)+(F47/12*7)</f>
        <v>1520.1108333333334</v>
      </c>
      <c r="J47" s="486">
        <v>645</v>
      </c>
      <c r="K47" s="473">
        <v>0</v>
      </c>
      <c r="L47" s="486">
        <v>0</v>
      </c>
      <c r="M47" s="474">
        <f>J47+K47+L47</f>
        <v>645</v>
      </c>
      <c r="N47" s="473">
        <v>468</v>
      </c>
      <c r="O47" s="472">
        <v>0</v>
      </c>
      <c r="P47" s="472">
        <v>0</v>
      </c>
      <c r="Q47" s="476">
        <f>M47+N47+O47+P47</f>
        <v>1113</v>
      </c>
      <c r="R47" s="472">
        <v>12.86666</v>
      </c>
      <c r="S47" s="472">
        <v>0</v>
      </c>
      <c r="T47" s="472">
        <v>0</v>
      </c>
      <c r="U47" s="483">
        <v>1125.8699999999999</v>
      </c>
      <c r="V47" s="478">
        <v>20</v>
      </c>
      <c r="W47" s="479">
        <f t="shared" ref="W47:W51" si="35">V47-U47</f>
        <v>-1105.8699999999999</v>
      </c>
      <c r="X47" s="459">
        <f t="shared" si="2"/>
        <v>-98.223595974668484</v>
      </c>
      <c r="Y47" s="469" t="s">
        <v>579</v>
      </c>
    </row>
    <row r="48" spans="1:25" ht="30.75" customHeight="1">
      <c r="A48" s="503" t="s">
        <v>486</v>
      </c>
      <c r="B48" s="469" t="s">
        <v>55</v>
      </c>
      <c r="C48" s="468" t="s">
        <v>6</v>
      </c>
      <c r="D48" s="470">
        <v>215.6</v>
      </c>
      <c r="E48" s="471">
        <f>D48*$E$69</f>
        <v>43.941617892004402</v>
      </c>
      <c r="F48" s="470">
        <v>200</v>
      </c>
      <c r="G48" s="471" t="e">
        <f>F48*$G$69</f>
        <v>#REF!</v>
      </c>
      <c r="H48" s="471" t="e">
        <f>E48+G48</f>
        <v>#REF!</v>
      </c>
      <c r="I48" s="472">
        <f>(D48/12*5)+(F48/12*7)</f>
        <v>206.5</v>
      </c>
      <c r="J48" s="481">
        <v>22.28464</v>
      </c>
      <c r="K48" s="481">
        <v>19.349640000000001</v>
      </c>
      <c r="L48" s="481">
        <v>51.826790000000003</v>
      </c>
      <c r="M48" s="474">
        <f>J48+K48+L48</f>
        <v>93.461070000000007</v>
      </c>
      <c r="N48" s="473">
        <v>62.043640000000003</v>
      </c>
      <c r="O48" s="472">
        <v>27.241440000000001</v>
      </c>
      <c r="P48" s="472">
        <v>47.140279999999997</v>
      </c>
      <c r="Q48" s="476">
        <f>M48+N48+O48+P48</f>
        <v>229.88643000000002</v>
      </c>
      <c r="R48" s="472">
        <v>29.442409999999999</v>
      </c>
      <c r="S48" s="472">
        <v>30.107209999999998</v>
      </c>
      <c r="T48" s="472">
        <v>21.736640000000001</v>
      </c>
      <c r="U48" s="483">
        <v>416.21</v>
      </c>
      <c r="V48" s="478">
        <v>118.15</v>
      </c>
      <c r="W48" s="479">
        <f t="shared" si="35"/>
        <v>-298.05999999999995</v>
      </c>
      <c r="X48" s="459">
        <f t="shared" si="2"/>
        <v>-71.612887724946546</v>
      </c>
      <c r="Y48" s="469" t="s">
        <v>579</v>
      </c>
    </row>
    <row r="49" spans="1:25" ht="30.75" customHeight="1">
      <c r="A49" s="503" t="s">
        <v>487</v>
      </c>
      <c r="B49" s="469" t="s">
        <v>469</v>
      </c>
      <c r="C49" s="468" t="s">
        <v>6</v>
      </c>
      <c r="D49" s="470">
        <v>0</v>
      </c>
      <c r="E49" s="471">
        <f>D49*$E$69</f>
        <v>0</v>
      </c>
      <c r="F49" s="470">
        <v>0</v>
      </c>
      <c r="G49" s="471" t="e">
        <f>F49*$G$69</f>
        <v>#REF!</v>
      </c>
      <c r="H49" s="471" t="e">
        <f>E49+G49</f>
        <v>#REF!</v>
      </c>
      <c r="I49" s="472">
        <f>(D49/12*5)+(F49/12*7)</f>
        <v>0</v>
      </c>
      <c r="J49" s="481">
        <v>0</v>
      </c>
      <c r="K49" s="481">
        <v>11.25</v>
      </c>
      <c r="L49" s="481">
        <v>135.76</v>
      </c>
      <c r="M49" s="474">
        <f>J49+K49+L49</f>
        <v>147.01</v>
      </c>
      <c r="N49" s="473">
        <v>0</v>
      </c>
      <c r="O49" s="472">
        <v>1.0900000000000001</v>
      </c>
      <c r="P49" s="472">
        <v>98.83</v>
      </c>
      <c r="Q49" s="476">
        <f>M49+N49+O49+P49</f>
        <v>246.93</v>
      </c>
      <c r="R49" s="472">
        <v>49.087000000000003</v>
      </c>
      <c r="S49" s="472">
        <v>10.737500000000001</v>
      </c>
      <c r="T49" s="472">
        <v>0.872</v>
      </c>
      <c r="U49" s="483">
        <v>320</v>
      </c>
      <c r="V49" s="478">
        <v>68.606999999999999</v>
      </c>
      <c r="W49" s="479">
        <f t="shared" si="35"/>
        <v>-251.393</v>
      </c>
      <c r="X49" s="459">
        <f t="shared" si="2"/>
        <v>-78.560312500000009</v>
      </c>
      <c r="Y49" s="469" t="s">
        <v>579</v>
      </c>
    </row>
    <row r="50" spans="1:25" ht="30.75" customHeight="1">
      <c r="A50" s="503" t="s">
        <v>488</v>
      </c>
      <c r="B50" s="469" t="s">
        <v>489</v>
      </c>
      <c r="C50" s="468" t="s">
        <v>6</v>
      </c>
      <c r="D50" s="470">
        <v>0</v>
      </c>
      <c r="E50" s="471">
        <f>D50*$E$69</f>
        <v>0</v>
      </c>
      <c r="F50" s="470">
        <v>0</v>
      </c>
      <c r="G50" s="471" t="e">
        <f>F50*$G$69</f>
        <v>#REF!</v>
      </c>
      <c r="H50" s="471" t="e">
        <f>E50+G50</f>
        <v>#REF!</v>
      </c>
      <c r="I50" s="472">
        <v>0</v>
      </c>
      <c r="J50" s="481">
        <v>0</v>
      </c>
      <c r="K50" s="481">
        <v>0</v>
      </c>
      <c r="L50" s="481">
        <v>0</v>
      </c>
      <c r="M50" s="474">
        <f>J50+K50+L50</f>
        <v>0</v>
      </c>
      <c r="N50" s="473">
        <v>25.2</v>
      </c>
      <c r="O50" s="472">
        <v>0</v>
      </c>
      <c r="P50" s="472">
        <v>0</v>
      </c>
      <c r="Q50" s="476">
        <f>M50+N50+O50+P50</f>
        <v>25.2</v>
      </c>
      <c r="R50" s="472">
        <v>36</v>
      </c>
      <c r="S50" s="472">
        <v>0</v>
      </c>
      <c r="T50" s="472">
        <v>36</v>
      </c>
      <c r="U50" s="483">
        <v>201.6</v>
      </c>
      <c r="V50" s="478">
        <v>70.2</v>
      </c>
      <c r="W50" s="479">
        <f t="shared" si="35"/>
        <v>-131.39999999999998</v>
      </c>
      <c r="X50" s="459">
        <f t="shared" si="2"/>
        <v>-65.178571428571416</v>
      </c>
      <c r="Y50" s="469" t="s">
        <v>579</v>
      </c>
    </row>
    <row r="51" spans="1:25" s="284" customFormat="1" ht="30.75" customHeight="1">
      <c r="A51" s="496" t="s">
        <v>490</v>
      </c>
      <c r="B51" s="469" t="s">
        <v>57</v>
      </c>
      <c r="C51" s="493" t="s">
        <v>6</v>
      </c>
      <c r="D51" s="493">
        <v>506</v>
      </c>
      <c r="E51" s="484">
        <f>D51*$E$69</f>
        <v>103.12828688939808</v>
      </c>
      <c r="F51" s="493">
        <v>425.82600000000002</v>
      </c>
      <c r="G51" s="471" t="e">
        <f>F51*$G$69</f>
        <v>#REF!</v>
      </c>
      <c r="H51" s="471" t="e">
        <f>E51+G51</f>
        <v>#REF!</v>
      </c>
      <c r="I51" s="475">
        <f>(D51/12*5)+(F51/12*7)</f>
        <v>459.23183333333333</v>
      </c>
      <c r="J51" s="485">
        <v>0</v>
      </c>
      <c r="K51" s="485">
        <v>0</v>
      </c>
      <c r="L51" s="485">
        <v>163.13659999999999</v>
      </c>
      <c r="M51" s="476">
        <f>J51+K51+L51</f>
        <v>163.13659999999999</v>
      </c>
      <c r="N51" s="481">
        <v>225.84700000000001</v>
      </c>
      <c r="O51" s="475">
        <v>0</v>
      </c>
      <c r="P51" s="475">
        <v>7.4</v>
      </c>
      <c r="Q51" s="476">
        <f>M51+N51+O51+P51</f>
        <v>396.3836</v>
      </c>
      <c r="R51" s="475">
        <v>0</v>
      </c>
      <c r="S51" s="475">
        <v>0</v>
      </c>
      <c r="T51" s="475">
        <v>0</v>
      </c>
      <c r="U51" s="483">
        <v>541.95000000000005</v>
      </c>
      <c r="V51" s="478">
        <v>397.74700000000001</v>
      </c>
      <c r="W51" s="479">
        <f t="shared" si="35"/>
        <v>-144.20300000000003</v>
      </c>
      <c r="X51" s="459">
        <f t="shared" si="2"/>
        <v>-26.608174185810512</v>
      </c>
      <c r="Y51" s="469" t="s">
        <v>579</v>
      </c>
    </row>
    <row r="52" spans="1:25" s="285" customFormat="1" ht="15" customHeight="1">
      <c r="A52" s="446" t="s">
        <v>61</v>
      </c>
      <c r="B52" s="455" t="s">
        <v>60</v>
      </c>
      <c r="C52" s="447" t="s">
        <v>6</v>
      </c>
      <c r="D52" s="504">
        <f t="shared" ref="D52:W52" si="36">D7+D30</f>
        <v>82039.960000000006</v>
      </c>
      <c r="E52" s="504">
        <f t="shared" si="36"/>
        <v>16720.633461017278</v>
      </c>
      <c r="F52" s="504">
        <f t="shared" si="36"/>
        <v>82552.254000000001</v>
      </c>
      <c r="G52" s="504" t="e">
        <f t="shared" si="36"/>
        <v>#REF!</v>
      </c>
      <c r="H52" s="504" t="e">
        <f t="shared" si="36"/>
        <v>#REF!</v>
      </c>
      <c r="I52" s="490">
        <f t="shared" si="36"/>
        <v>82338.798166666675</v>
      </c>
      <c r="J52" s="505">
        <f t="shared" si="36"/>
        <v>4387.8204699999987</v>
      </c>
      <c r="K52" s="505">
        <f t="shared" si="36"/>
        <v>4583.1302800000003</v>
      </c>
      <c r="L52" s="505">
        <f t="shared" si="36"/>
        <v>6054.3501200000001</v>
      </c>
      <c r="M52" s="488">
        <f t="shared" si="36"/>
        <v>15025.300869999999</v>
      </c>
      <c r="N52" s="490">
        <f t="shared" si="36"/>
        <v>4159.5445099999997</v>
      </c>
      <c r="O52" s="490">
        <f t="shared" si="36"/>
        <v>3981.9100199999998</v>
      </c>
      <c r="P52" s="490">
        <f t="shared" si="36"/>
        <v>7123.9620000000004</v>
      </c>
      <c r="Q52" s="488">
        <f t="shared" si="36"/>
        <v>30290.717400000001</v>
      </c>
      <c r="R52" s="490">
        <f t="shared" si="36"/>
        <v>4163.10113</v>
      </c>
      <c r="S52" s="490">
        <f t="shared" si="36"/>
        <v>5413.8375900000001</v>
      </c>
      <c r="T52" s="490">
        <f t="shared" si="36"/>
        <v>13970.676140000001</v>
      </c>
      <c r="U52" s="506">
        <f t="shared" si="36"/>
        <v>99114.309999999983</v>
      </c>
      <c r="V52" s="465">
        <f t="shared" si="36"/>
        <v>29642.986000000001</v>
      </c>
      <c r="W52" s="465">
        <f t="shared" si="36"/>
        <v>-69409.320000000007</v>
      </c>
      <c r="X52" s="459">
        <f t="shared" si="2"/>
        <v>-70.09212292352133</v>
      </c>
      <c r="Y52" s="469"/>
    </row>
    <row r="53" spans="1:25" s="282" customFormat="1" ht="15" customHeight="1">
      <c r="A53" s="446" t="s">
        <v>63</v>
      </c>
      <c r="B53" s="455" t="s">
        <v>491</v>
      </c>
      <c r="C53" s="446" t="s">
        <v>6</v>
      </c>
      <c r="D53" s="446" t="e">
        <f>D57-D52</f>
        <v>#REF!</v>
      </c>
      <c r="E53" s="446" t="e">
        <f>E57-E52</f>
        <v>#REF!</v>
      </c>
      <c r="F53" s="446">
        <v>0</v>
      </c>
      <c r="G53" s="448" t="e">
        <f>G57-G52</f>
        <v>#REF!</v>
      </c>
      <c r="H53" s="448" t="e">
        <f>#REF!-H52</f>
        <v>#REF!</v>
      </c>
      <c r="I53" s="487">
        <v>0</v>
      </c>
      <c r="J53" s="461" t="e">
        <f t="shared" ref="J53:T53" si="37">J57-J52</f>
        <v>#REF!</v>
      </c>
      <c r="K53" s="461" t="e">
        <f t="shared" si="37"/>
        <v>#REF!</v>
      </c>
      <c r="L53" s="461" t="e">
        <f t="shared" si="37"/>
        <v>#REF!</v>
      </c>
      <c r="M53" s="462" t="e">
        <f t="shared" si="37"/>
        <v>#REF!</v>
      </c>
      <c r="N53" s="461" t="e">
        <f t="shared" si="37"/>
        <v>#REF!</v>
      </c>
      <c r="O53" s="461" t="e">
        <f t="shared" si="37"/>
        <v>#REF!</v>
      </c>
      <c r="P53" s="461" t="e">
        <f t="shared" si="37"/>
        <v>#REF!</v>
      </c>
      <c r="Q53" s="488" t="e">
        <f t="shared" si="37"/>
        <v>#REF!</v>
      </c>
      <c r="R53" s="490" t="e">
        <f t="shared" si="37"/>
        <v>#REF!</v>
      </c>
      <c r="S53" s="490" t="e">
        <f t="shared" si="37"/>
        <v>#REF!</v>
      </c>
      <c r="T53" s="490" t="e">
        <f t="shared" si="37"/>
        <v>#REF!</v>
      </c>
      <c r="U53" s="506">
        <v>0</v>
      </c>
      <c r="V53" s="465">
        <f>V57-V52</f>
        <v>-24495.151600000001</v>
      </c>
      <c r="W53" s="465">
        <f t="shared" ref="W53" si="38">W57-W52</f>
        <v>-23076.125599999985</v>
      </c>
      <c r="X53" s="507"/>
      <c r="Y53" s="469"/>
    </row>
    <row r="54" spans="1:25" s="282" customFormat="1" ht="28.5" hidden="1" customHeight="1">
      <c r="A54" s="446"/>
      <c r="B54" s="455" t="s">
        <v>492</v>
      </c>
      <c r="C54" s="446" t="s">
        <v>6</v>
      </c>
      <c r="D54" s="446">
        <v>0</v>
      </c>
      <c r="E54" s="448"/>
      <c r="F54" s="446">
        <v>2355.75</v>
      </c>
      <c r="G54" s="448"/>
      <c r="H54" s="448"/>
      <c r="I54" s="487">
        <v>0</v>
      </c>
      <c r="J54" s="461"/>
      <c r="K54" s="461"/>
      <c r="L54" s="461"/>
      <c r="M54" s="462"/>
      <c r="N54" s="461"/>
      <c r="O54" s="461"/>
      <c r="P54" s="461"/>
      <c r="Q54" s="488"/>
      <c r="R54" s="490"/>
      <c r="S54" s="490"/>
      <c r="T54" s="490"/>
      <c r="U54" s="506"/>
      <c r="V54" s="465"/>
      <c r="W54" s="465"/>
      <c r="X54" s="507"/>
      <c r="Y54" s="469"/>
    </row>
    <row r="55" spans="1:25" s="282" customFormat="1" ht="18" hidden="1" customHeight="1">
      <c r="A55" s="446"/>
      <c r="B55" s="455" t="s">
        <v>258</v>
      </c>
      <c r="C55" s="446" t="s">
        <v>6</v>
      </c>
      <c r="D55" s="446"/>
      <c r="E55" s="448"/>
      <c r="F55" s="446"/>
      <c r="G55" s="448"/>
      <c r="H55" s="448"/>
      <c r="I55" s="487"/>
      <c r="J55" s="461"/>
      <c r="K55" s="461"/>
      <c r="L55" s="461"/>
      <c r="M55" s="462"/>
      <c r="N55" s="461"/>
      <c r="O55" s="461"/>
      <c r="P55" s="461"/>
      <c r="Q55" s="488"/>
      <c r="R55" s="490"/>
      <c r="S55" s="490"/>
      <c r="T55" s="490"/>
      <c r="U55" s="506"/>
      <c r="V55" s="465"/>
      <c r="W55" s="465"/>
      <c r="X55" s="507"/>
      <c r="Y55" s="469"/>
    </row>
    <row r="56" spans="1:25" s="282" customFormat="1" ht="30.75" customHeight="1">
      <c r="A56" s="508"/>
      <c r="B56" s="509" t="s">
        <v>492</v>
      </c>
      <c r="C56" s="446" t="s">
        <v>6</v>
      </c>
      <c r="D56" s="451">
        <v>0</v>
      </c>
      <c r="E56" s="500"/>
      <c r="F56" s="451">
        <v>0</v>
      </c>
      <c r="G56" s="500"/>
      <c r="H56" s="500"/>
      <c r="I56" s="487">
        <f>(D56/12*5)+(F56/12*7)</f>
        <v>0</v>
      </c>
      <c r="J56" s="489">
        <v>0</v>
      </c>
      <c r="K56" s="489">
        <v>0</v>
      </c>
      <c r="L56" s="489">
        <v>0</v>
      </c>
      <c r="M56" s="499">
        <v>0</v>
      </c>
      <c r="N56" s="489">
        <v>0</v>
      </c>
      <c r="O56" s="487">
        <v>0</v>
      </c>
      <c r="P56" s="487">
        <v>0</v>
      </c>
      <c r="Q56" s="488">
        <f>M56+N56+O56+P56</f>
        <v>0</v>
      </c>
      <c r="R56" s="487">
        <v>0</v>
      </c>
      <c r="S56" s="487">
        <v>0</v>
      </c>
      <c r="T56" s="487">
        <v>0</v>
      </c>
      <c r="U56" s="506">
        <v>1481.04</v>
      </c>
      <c r="V56" s="465"/>
      <c r="W56" s="501"/>
      <c r="X56" s="507"/>
      <c r="Y56" s="469"/>
    </row>
    <row r="57" spans="1:25" s="282" customFormat="1" ht="15" customHeight="1">
      <c r="A57" s="446" t="s">
        <v>65</v>
      </c>
      <c r="B57" s="455" t="s">
        <v>62</v>
      </c>
      <c r="C57" s="446" t="s">
        <v>6</v>
      </c>
      <c r="D57" s="446" t="e">
        <f>#REF!+D56</f>
        <v>#REF!</v>
      </c>
      <c r="E57" s="446" t="e">
        <f>#REF!+E56</f>
        <v>#REF!</v>
      </c>
      <c r="F57" s="446" t="e">
        <f>#REF!+F56</f>
        <v>#REF!</v>
      </c>
      <c r="G57" s="446" t="e">
        <f>#REF!+G56</f>
        <v>#REF!</v>
      </c>
      <c r="H57" s="446" t="e">
        <f>#REF!+H56</f>
        <v>#REF!</v>
      </c>
      <c r="I57" s="487" t="e">
        <f>(D57/12*5)+(F57/12*7)</f>
        <v>#REF!</v>
      </c>
      <c r="J57" s="461" t="e">
        <f>#REF!+J56</f>
        <v>#REF!</v>
      </c>
      <c r="K57" s="461" t="e">
        <f>#REF!+K56</f>
        <v>#REF!</v>
      </c>
      <c r="L57" s="461" t="e">
        <f>#REF!+L56</f>
        <v>#REF!</v>
      </c>
      <c r="M57" s="462" t="e">
        <f>#REF!+M56</f>
        <v>#REF!</v>
      </c>
      <c r="N57" s="461" t="e">
        <f>N56+#REF!</f>
        <v>#REF!</v>
      </c>
      <c r="O57" s="461" t="e">
        <f>O56+#REF!</f>
        <v>#REF!</v>
      </c>
      <c r="P57" s="461" t="e">
        <f>P56+#REF!</f>
        <v>#REF!</v>
      </c>
      <c r="Q57" s="488" t="e">
        <f>Q56+#REF!</f>
        <v>#REF!</v>
      </c>
      <c r="R57" s="461" t="e">
        <f>#REF!+R56</f>
        <v>#REF!</v>
      </c>
      <c r="S57" s="461" t="e">
        <f>#REF!+S56</f>
        <v>#REF!</v>
      </c>
      <c r="T57" s="461" t="e">
        <f>#REF!+T56</f>
        <v>#REF!</v>
      </c>
      <c r="U57" s="506">
        <f>U59</f>
        <v>97633.279999999999</v>
      </c>
      <c r="V57" s="466">
        <f>V59</f>
        <v>5147.8344000000006</v>
      </c>
      <c r="W57" s="501">
        <f>V57-U57</f>
        <v>-92485.445599999992</v>
      </c>
      <c r="X57" s="507"/>
      <c r="Y57" s="469"/>
    </row>
    <row r="58" spans="1:25" s="282" customFormat="1" ht="15" customHeight="1">
      <c r="A58" s="873" t="s">
        <v>68</v>
      </c>
      <c r="B58" s="874" t="s">
        <v>64</v>
      </c>
      <c r="C58" s="446" t="s">
        <v>574</v>
      </c>
      <c r="D58" s="451">
        <v>380997</v>
      </c>
      <c r="E58" s="500">
        <v>77651.320000000007</v>
      </c>
      <c r="F58" s="451">
        <v>380997.16</v>
      </c>
      <c r="G58" s="500">
        <v>279855.03000000003</v>
      </c>
      <c r="H58" s="500">
        <f>E58+G58</f>
        <v>357506.35000000003</v>
      </c>
      <c r="I58" s="487">
        <f>(D58/12*5)+(F58/12*7)</f>
        <v>380997.09333333332</v>
      </c>
      <c r="J58" s="489">
        <v>0</v>
      </c>
      <c r="K58" s="489">
        <v>0</v>
      </c>
      <c r="L58" s="489">
        <v>2590.33</v>
      </c>
      <c r="M58" s="499">
        <f>J58+K58+L58</f>
        <v>2590.33</v>
      </c>
      <c r="N58" s="489">
        <v>25746.93</v>
      </c>
      <c r="O58" s="487">
        <v>49314.055</v>
      </c>
      <c r="P58" s="487">
        <v>54146.080000000002</v>
      </c>
      <c r="Q58" s="488">
        <f>M58+N58+O58+P58</f>
        <v>131797.39500000002</v>
      </c>
      <c r="R58" s="487">
        <v>81956.585999999996</v>
      </c>
      <c r="S58" s="487">
        <v>102762.988</v>
      </c>
      <c r="T58" s="487">
        <v>24913.917000000001</v>
      </c>
      <c r="U58" s="506">
        <v>355222.03</v>
      </c>
      <c r="V58" s="465">
        <v>18871.849999999999</v>
      </c>
      <c r="W58" s="501">
        <f>V58-U58</f>
        <v>-336350.18000000005</v>
      </c>
      <c r="X58" s="507"/>
      <c r="Y58" s="469"/>
    </row>
    <row r="59" spans="1:25" s="282" customFormat="1" ht="15" customHeight="1">
      <c r="A59" s="873"/>
      <c r="B59" s="874"/>
      <c r="C59" s="446" t="s">
        <v>58</v>
      </c>
      <c r="D59" s="451">
        <f>D58*D62</f>
        <v>91058.282999999996</v>
      </c>
      <c r="E59" s="500">
        <f>E58*E62</f>
        <v>18558.66548</v>
      </c>
      <c r="F59" s="451" t="e">
        <f>#REF!</f>
        <v>#REF!</v>
      </c>
      <c r="G59" s="500">
        <f>G58*G62</f>
        <v>58769.556300000004</v>
      </c>
      <c r="H59" s="500">
        <f>E59+G59</f>
        <v>77328.221780000007</v>
      </c>
      <c r="I59" s="487" t="e">
        <f>(D59/12*5)+(F59/12*7)</f>
        <v>#REF!</v>
      </c>
      <c r="J59" s="489"/>
      <c r="K59" s="489"/>
      <c r="L59" s="489"/>
      <c r="M59" s="499"/>
      <c r="N59" s="489"/>
      <c r="O59" s="487"/>
      <c r="P59" s="487"/>
      <c r="Q59" s="488"/>
      <c r="R59" s="487"/>
      <c r="S59" s="487"/>
      <c r="T59" s="487"/>
      <c r="U59" s="506">
        <v>97633.279999999999</v>
      </c>
      <c r="V59" s="465">
        <f>(644.99*0.21)+(18226.86*0.275)</f>
        <v>5147.8344000000006</v>
      </c>
      <c r="W59" s="501">
        <f>V59-U59</f>
        <v>-92485.445599999992</v>
      </c>
      <c r="X59" s="507"/>
      <c r="Y59" s="469"/>
    </row>
    <row r="60" spans="1:25" ht="15" customHeight="1">
      <c r="A60" s="877" t="s">
        <v>69</v>
      </c>
      <c r="B60" s="875" t="s">
        <v>66</v>
      </c>
      <c r="C60" s="446" t="s">
        <v>67</v>
      </c>
      <c r="D60" s="451">
        <v>19</v>
      </c>
      <c r="E60" s="500"/>
      <c r="F60" s="451">
        <v>14.61</v>
      </c>
      <c r="G60" s="500"/>
      <c r="H60" s="500"/>
      <c r="I60" s="487"/>
      <c r="J60" s="473"/>
      <c r="K60" s="473"/>
      <c r="L60" s="473"/>
      <c r="M60" s="474"/>
      <c r="N60" s="473"/>
      <c r="O60" s="472"/>
      <c r="P60" s="472"/>
      <c r="Q60" s="488"/>
      <c r="R60" s="472"/>
      <c r="S60" s="472"/>
      <c r="T60" s="472"/>
      <c r="U60" s="506">
        <v>14.61</v>
      </c>
      <c r="V60" s="465">
        <v>14</v>
      </c>
      <c r="W60" s="501">
        <f>U60-V60</f>
        <v>0.60999999999999943</v>
      </c>
      <c r="X60" s="507"/>
      <c r="Y60" s="469"/>
    </row>
    <row r="61" spans="1:25" ht="19.5" customHeight="1">
      <c r="A61" s="878"/>
      <c r="B61" s="876"/>
      <c r="C61" s="446" t="s">
        <v>574</v>
      </c>
      <c r="D61" s="451">
        <v>89370</v>
      </c>
      <c r="E61" s="500"/>
      <c r="F61" s="451">
        <v>65201</v>
      </c>
      <c r="G61" s="500"/>
      <c r="H61" s="500"/>
      <c r="I61" s="487"/>
      <c r="J61" s="473"/>
      <c r="K61" s="473"/>
      <c r="L61" s="473"/>
      <c r="M61" s="474"/>
      <c r="N61" s="473"/>
      <c r="O61" s="472"/>
      <c r="P61" s="472"/>
      <c r="Q61" s="488"/>
      <c r="R61" s="472"/>
      <c r="S61" s="472"/>
      <c r="T61" s="472"/>
      <c r="U61" s="506">
        <v>60777.54</v>
      </c>
      <c r="V61" s="465">
        <v>3072</v>
      </c>
      <c r="W61" s="501">
        <f>U61-V61</f>
        <v>57705.54</v>
      </c>
      <c r="X61" s="507"/>
      <c r="Y61" s="469"/>
    </row>
    <row r="62" spans="1:25" s="286" customFormat="1" ht="15" customHeight="1">
      <c r="A62" s="446" t="s">
        <v>98</v>
      </c>
      <c r="B62" s="510" t="s">
        <v>70</v>
      </c>
      <c r="C62" s="511"/>
      <c r="D62" s="512">
        <v>0.23899999999999999</v>
      </c>
      <c r="E62" s="513">
        <v>0.23899999999999999</v>
      </c>
      <c r="F62" s="446">
        <v>0.21</v>
      </c>
      <c r="G62" s="448">
        <v>0.21</v>
      </c>
      <c r="H62" s="448"/>
      <c r="I62" s="461" t="s">
        <v>493</v>
      </c>
      <c r="J62" s="461">
        <v>0.23400000000000001</v>
      </c>
      <c r="K62" s="461">
        <v>0.23400000000000001</v>
      </c>
      <c r="L62" s="461">
        <v>0.23400000000000001</v>
      </c>
      <c r="M62" s="462">
        <v>0.23400000000000001</v>
      </c>
      <c r="N62" s="461">
        <v>0.23400000000000001</v>
      </c>
      <c r="O62" s="461">
        <v>0.23400000000000001</v>
      </c>
      <c r="P62" s="461">
        <v>0.21</v>
      </c>
      <c r="Q62" s="463" t="s">
        <v>494</v>
      </c>
      <c r="R62" s="461">
        <v>0.21</v>
      </c>
      <c r="S62" s="461">
        <v>0.21</v>
      </c>
      <c r="T62" s="461">
        <v>0.21</v>
      </c>
      <c r="U62" s="514">
        <v>0.27500000000000002</v>
      </c>
      <c r="V62" s="466" t="s">
        <v>526</v>
      </c>
      <c r="W62" s="501"/>
      <c r="X62" s="507"/>
      <c r="Y62" s="469"/>
    </row>
    <row r="63" spans="1:25" s="282" customFormat="1" ht="29.25" customHeight="1">
      <c r="A63" s="446" t="s">
        <v>139</v>
      </c>
      <c r="B63" s="515" t="s">
        <v>136</v>
      </c>
      <c r="C63" s="487" t="s">
        <v>102</v>
      </c>
      <c r="D63" s="482">
        <f>D64+D65</f>
        <v>27</v>
      </c>
      <c r="E63" s="516"/>
      <c r="F63" s="482">
        <v>35</v>
      </c>
      <c r="G63" s="448"/>
      <c r="H63" s="448"/>
      <c r="I63" s="461"/>
      <c r="J63" s="461"/>
      <c r="K63" s="461"/>
      <c r="L63" s="461"/>
      <c r="M63" s="462"/>
      <c r="N63" s="461"/>
      <c r="O63" s="461"/>
      <c r="P63" s="461"/>
      <c r="Q63" s="463"/>
      <c r="R63" s="487"/>
      <c r="S63" s="487"/>
      <c r="T63" s="487"/>
      <c r="U63" s="517">
        <f t="shared" ref="U63:U65" si="39">F63</f>
        <v>35</v>
      </c>
      <c r="V63" s="465">
        <f>+V64+V65</f>
        <v>24</v>
      </c>
      <c r="W63" s="501"/>
      <c r="X63" s="507"/>
      <c r="Y63" s="469"/>
    </row>
    <row r="64" spans="1:25" s="282" customFormat="1" ht="15" customHeight="1">
      <c r="A64" s="446"/>
      <c r="B64" s="518" t="s">
        <v>297</v>
      </c>
      <c r="C64" s="472" t="s">
        <v>102</v>
      </c>
      <c r="D64" s="519">
        <v>19</v>
      </c>
      <c r="E64" s="520"/>
      <c r="F64" s="519">
        <v>27</v>
      </c>
      <c r="G64" s="484"/>
      <c r="H64" s="484"/>
      <c r="I64" s="486"/>
      <c r="J64" s="486"/>
      <c r="K64" s="486"/>
      <c r="L64" s="486"/>
      <c r="M64" s="521"/>
      <c r="N64" s="486"/>
      <c r="O64" s="486"/>
      <c r="P64" s="486"/>
      <c r="Q64" s="522"/>
      <c r="R64" s="472"/>
      <c r="S64" s="472"/>
      <c r="T64" s="472"/>
      <c r="U64" s="523">
        <f t="shared" si="39"/>
        <v>27</v>
      </c>
      <c r="V64" s="478">
        <v>16</v>
      </c>
      <c r="W64" s="501"/>
      <c r="X64" s="507"/>
      <c r="Y64" s="469"/>
    </row>
    <row r="65" spans="1:25" s="282" customFormat="1" ht="15" customHeight="1">
      <c r="A65" s="446"/>
      <c r="B65" s="518" t="s">
        <v>298</v>
      </c>
      <c r="C65" s="472" t="s">
        <v>102</v>
      </c>
      <c r="D65" s="519">
        <v>8</v>
      </c>
      <c r="E65" s="520"/>
      <c r="F65" s="519">
        <v>8</v>
      </c>
      <c r="G65" s="484"/>
      <c r="H65" s="484"/>
      <c r="I65" s="486"/>
      <c r="J65" s="486"/>
      <c r="K65" s="486"/>
      <c r="L65" s="486"/>
      <c r="M65" s="521"/>
      <c r="N65" s="486"/>
      <c r="O65" s="486"/>
      <c r="P65" s="486"/>
      <c r="Q65" s="522"/>
      <c r="R65" s="472"/>
      <c r="S65" s="472"/>
      <c r="T65" s="472"/>
      <c r="U65" s="523">
        <f t="shared" si="39"/>
        <v>8</v>
      </c>
      <c r="V65" s="478">
        <v>8</v>
      </c>
      <c r="W65" s="501"/>
      <c r="X65" s="507"/>
      <c r="Y65" s="469"/>
    </row>
    <row r="66" spans="1:25" s="282" customFormat="1" ht="15" customHeight="1">
      <c r="A66" s="446"/>
      <c r="B66" s="515" t="s">
        <v>137</v>
      </c>
      <c r="C66" s="487" t="s">
        <v>105</v>
      </c>
      <c r="D66" s="446">
        <v>86147</v>
      </c>
      <c r="E66" s="448"/>
      <c r="F66" s="446">
        <v>69219.759999999995</v>
      </c>
      <c r="G66" s="448"/>
      <c r="H66" s="448"/>
      <c r="I66" s="446"/>
      <c r="J66" s="446"/>
      <c r="K66" s="446"/>
      <c r="L66" s="446"/>
      <c r="M66" s="456"/>
      <c r="N66" s="446"/>
      <c r="O66" s="446"/>
      <c r="P66" s="446"/>
      <c r="Q66" s="524"/>
      <c r="R66" s="451"/>
      <c r="S66" s="451"/>
      <c r="T66" s="451"/>
      <c r="U66" s="457">
        <v>95679</v>
      </c>
      <c r="V66" s="492">
        <f>AVERAGE(V67:V68)</f>
        <v>104091.8359375</v>
      </c>
      <c r="W66" s="501"/>
      <c r="X66" s="525"/>
      <c r="Y66" s="460"/>
    </row>
    <row r="67" spans="1:25" s="282" customFormat="1" ht="15" customHeight="1">
      <c r="A67" s="446"/>
      <c r="B67" s="518" t="s">
        <v>297</v>
      </c>
      <c r="C67" s="472" t="s">
        <v>105</v>
      </c>
      <c r="D67" s="446">
        <v>76840</v>
      </c>
      <c r="E67" s="448"/>
      <c r="F67" s="446">
        <v>53600.62</v>
      </c>
      <c r="G67" s="448"/>
      <c r="H67" s="448"/>
      <c r="I67" s="446"/>
      <c r="J67" s="446"/>
      <c r="K67" s="446"/>
      <c r="L67" s="446"/>
      <c r="M67" s="456"/>
      <c r="N67" s="446"/>
      <c r="O67" s="446"/>
      <c r="P67" s="446"/>
      <c r="Q67" s="524"/>
      <c r="R67" s="451"/>
      <c r="S67" s="451"/>
      <c r="T67" s="451"/>
      <c r="U67" s="457">
        <v>77046</v>
      </c>
      <c r="V67" s="492">
        <f>V14/4/V64*1000</f>
        <v>83196.078125</v>
      </c>
      <c r="W67" s="501"/>
      <c r="X67" s="525"/>
      <c r="Y67" s="460"/>
    </row>
    <row r="68" spans="1:25" s="282" customFormat="1" ht="15" customHeight="1">
      <c r="A68" s="446"/>
      <c r="B68" s="518" t="s">
        <v>298</v>
      </c>
      <c r="C68" s="472" t="s">
        <v>105</v>
      </c>
      <c r="D68" s="446">
        <v>108252</v>
      </c>
      <c r="E68" s="448"/>
      <c r="F68" s="446">
        <v>121934.38</v>
      </c>
      <c r="G68" s="448"/>
      <c r="H68" s="448"/>
      <c r="I68" s="446"/>
      <c r="J68" s="446"/>
      <c r="K68" s="446"/>
      <c r="L68" s="446"/>
      <c r="M68" s="456"/>
      <c r="N68" s="446"/>
      <c r="O68" s="446"/>
      <c r="P68" s="446"/>
      <c r="Q68" s="524"/>
      <c r="R68" s="451"/>
      <c r="S68" s="451"/>
      <c r="T68" s="451"/>
      <c r="U68" s="457">
        <v>143555</v>
      </c>
      <c r="V68" s="492">
        <f>V34/4/V65*1000</f>
        <v>124987.59375</v>
      </c>
      <c r="W68" s="501"/>
      <c r="X68" s="525"/>
      <c r="Y68" s="460"/>
    </row>
    <row r="69" spans="1:25" s="282" customFormat="1" ht="15" customHeight="1">
      <c r="A69" s="526"/>
      <c r="B69" s="527"/>
      <c r="C69" s="528"/>
      <c r="D69" s="526"/>
      <c r="E69" s="529">
        <f>E59/D59</f>
        <v>0.20381084365493693</v>
      </c>
      <c r="F69" s="526"/>
      <c r="G69" s="529" t="e">
        <f>G59/F59</f>
        <v>#REF!</v>
      </c>
      <c r="H69" s="529"/>
      <c r="I69" s="526"/>
      <c r="J69" s="526"/>
      <c r="K69" s="526"/>
      <c r="L69" s="526"/>
      <c r="M69" s="530"/>
      <c r="N69" s="526"/>
      <c r="O69" s="526"/>
      <c r="P69" s="526"/>
      <c r="Q69" s="531"/>
      <c r="R69" s="532"/>
      <c r="S69" s="532"/>
      <c r="T69" s="532"/>
      <c r="U69" s="532"/>
      <c r="V69" s="533"/>
      <c r="W69" s="534"/>
      <c r="X69" s="535"/>
      <c r="Y69" s="508"/>
    </row>
    <row r="70" spans="1:25" s="282" customFormat="1" ht="15" customHeight="1">
      <c r="A70" s="526"/>
      <c r="B70" s="527"/>
      <c r="C70" s="528"/>
      <c r="D70" s="526"/>
      <c r="E70" s="529"/>
      <c r="F70" s="526"/>
      <c r="G70" s="529"/>
      <c r="H70" s="529"/>
      <c r="I70" s="526"/>
      <c r="J70" s="526"/>
      <c r="K70" s="526"/>
      <c r="L70" s="526"/>
      <c r="M70" s="530"/>
      <c r="N70" s="526"/>
      <c r="O70" s="526"/>
      <c r="P70" s="526"/>
      <c r="Q70" s="531"/>
      <c r="R70" s="532"/>
      <c r="S70" s="532"/>
      <c r="T70" s="532"/>
      <c r="U70" s="532"/>
      <c r="V70" s="533"/>
      <c r="W70" s="534"/>
      <c r="X70" s="535"/>
      <c r="Y70" s="508"/>
    </row>
    <row r="71" spans="1:25" ht="15" customHeight="1">
      <c r="A71" s="432"/>
      <c r="B71" s="433"/>
      <c r="C71" s="432"/>
      <c r="D71" s="434"/>
      <c r="E71" s="435"/>
      <c r="F71" s="434"/>
      <c r="G71" s="435"/>
      <c r="H71" s="435"/>
      <c r="I71" s="434"/>
      <c r="J71" s="432"/>
      <c r="K71" s="432"/>
      <c r="L71" s="432"/>
      <c r="M71" s="536"/>
      <c r="N71" s="432"/>
      <c r="O71" s="434"/>
      <c r="P71" s="434"/>
      <c r="Q71" s="437"/>
      <c r="R71" s="434"/>
      <c r="S71" s="434"/>
      <c r="T71" s="434"/>
      <c r="U71" s="434"/>
      <c r="V71" s="438"/>
      <c r="W71" s="439"/>
      <c r="X71" s="440"/>
      <c r="Y71" s="441"/>
    </row>
    <row r="72" spans="1:25" ht="15" customHeight="1">
      <c r="A72" s="432"/>
      <c r="B72" s="870" t="s">
        <v>517</v>
      </c>
      <c r="C72" s="870"/>
      <c r="D72" s="870"/>
      <c r="E72" s="870"/>
      <c r="F72" s="870"/>
      <c r="G72" s="870"/>
      <c r="H72" s="870"/>
      <c r="I72" s="870"/>
      <c r="J72" s="870"/>
      <c r="K72" s="870"/>
      <c r="L72" s="870"/>
      <c r="M72" s="870"/>
      <c r="N72" s="870"/>
      <c r="O72" s="870"/>
      <c r="P72" s="870"/>
      <c r="Q72" s="870"/>
      <c r="R72" s="870"/>
      <c r="S72" s="870"/>
      <c r="T72" s="870"/>
      <c r="U72" s="870"/>
      <c r="V72" s="438"/>
      <c r="W72" s="439"/>
      <c r="X72" s="535" t="s">
        <v>304</v>
      </c>
      <c r="Y72" s="441"/>
    </row>
    <row r="73" spans="1:25" ht="15" customHeight="1">
      <c r="A73" s="432"/>
      <c r="B73" s="856"/>
      <c r="C73" s="856"/>
      <c r="D73" s="856"/>
      <c r="E73" s="856"/>
      <c r="F73" s="856"/>
      <c r="G73" s="856"/>
      <c r="H73" s="856"/>
      <c r="I73" s="856"/>
      <c r="J73" s="856"/>
      <c r="K73" s="856"/>
      <c r="L73" s="856"/>
      <c r="M73" s="856"/>
      <c r="N73" s="856"/>
      <c r="O73" s="856"/>
      <c r="P73" s="856"/>
      <c r="Q73" s="856"/>
      <c r="R73" s="856"/>
      <c r="S73" s="856"/>
      <c r="T73" s="856"/>
      <c r="U73" s="856"/>
      <c r="V73" s="438"/>
      <c r="W73" s="439"/>
      <c r="X73" s="535"/>
      <c r="Y73" s="441"/>
    </row>
    <row r="74" spans="1:25" ht="15" customHeight="1">
      <c r="A74" s="432"/>
      <c r="B74" s="856" t="s">
        <v>71</v>
      </c>
      <c r="C74" s="856"/>
      <c r="D74" s="856"/>
      <c r="E74" s="856"/>
      <c r="F74" s="856"/>
      <c r="G74" s="856"/>
      <c r="H74" s="856"/>
      <c r="I74" s="856"/>
      <c r="J74" s="856"/>
      <c r="K74" s="856"/>
      <c r="L74" s="856"/>
      <c r="M74" s="856"/>
      <c r="N74" s="856"/>
      <c r="O74" s="856"/>
      <c r="P74" s="856"/>
      <c r="Q74" s="856"/>
      <c r="R74" s="856"/>
      <c r="S74" s="856"/>
      <c r="T74" s="856"/>
      <c r="U74" s="856"/>
      <c r="V74" s="438"/>
      <c r="W74" s="439"/>
      <c r="X74" s="535" t="s">
        <v>595</v>
      </c>
      <c r="Y74" s="441"/>
    </row>
    <row r="75" spans="1:25" ht="15" customHeight="1">
      <c r="A75" s="432"/>
      <c r="B75" s="437"/>
      <c r="C75" s="537"/>
      <c r="D75" s="537"/>
      <c r="E75" s="538"/>
      <c r="F75" s="537"/>
      <c r="G75" s="538"/>
      <c r="H75" s="538"/>
      <c r="I75" s="537"/>
      <c r="J75" s="537"/>
      <c r="K75" s="539"/>
      <c r="L75" s="540"/>
      <c r="M75" s="436"/>
      <c r="N75" s="871" t="s">
        <v>495</v>
      </c>
      <c r="O75" s="871"/>
      <c r="P75" s="541"/>
      <c r="Q75" s="542"/>
      <c r="R75" s="434"/>
      <c r="S75" s="434"/>
      <c r="T75" s="434"/>
      <c r="U75" s="434"/>
      <c r="V75" s="438"/>
      <c r="W75" s="439"/>
      <c r="X75" s="535"/>
      <c r="Y75" s="441"/>
    </row>
    <row r="76" spans="1:25" ht="15" customHeight="1">
      <c r="A76" s="432"/>
      <c r="B76" s="870" t="s">
        <v>72</v>
      </c>
      <c r="C76" s="870"/>
      <c r="D76" s="870"/>
      <c r="E76" s="870"/>
      <c r="F76" s="870"/>
      <c r="G76" s="870"/>
      <c r="H76" s="870"/>
      <c r="I76" s="870"/>
      <c r="J76" s="870"/>
      <c r="K76" s="870"/>
      <c r="L76" s="870"/>
      <c r="M76" s="870"/>
      <c r="N76" s="870"/>
      <c r="O76" s="870"/>
      <c r="P76" s="870"/>
      <c r="Q76" s="870"/>
      <c r="R76" s="870"/>
      <c r="S76" s="870"/>
      <c r="T76" s="870"/>
      <c r="U76" s="870"/>
      <c r="V76" s="438"/>
      <c r="W76" s="439"/>
      <c r="X76" s="535" t="s">
        <v>169</v>
      </c>
      <c r="Y76" s="441"/>
    </row>
    <row r="77" spans="1:25" ht="15" customHeight="1">
      <c r="A77" s="432"/>
      <c r="B77" s="437"/>
      <c r="C77" s="543"/>
      <c r="D77" s="543"/>
      <c r="E77" s="544"/>
      <c r="F77" s="543"/>
      <c r="G77" s="544"/>
      <c r="H77" s="544"/>
      <c r="I77" s="543"/>
      <c r="J77" s="540"/>
      <c r="K77" s="539"/>
      <c r="L77" s="540"/>
      <c r="M77" s="545"/>
      <c r="N77" s="871" t="s">
        <v>496</v>
      </c>
      <c r="O77" s="871"/>
      <c r="P77" s="541"/>
      <c r="Q77" s="542"/>
      <c r="R77" s="434"/>
      <c r="S77" s="434"/>
      <c r="T77" s="434"/>
      <c r="U77" s="434"/>
      <c r="V77" s="438"/>
      <c r="W77" s="439"/>
      <c r="X77" s="440"/>
      <c r="Y77" s="441"/>
    </row>
    <row r="78" spans="1:25" ht="15" customHeight="1">
      <c r="A78" s="432"/>
      <c r="B78" s="847" t="s">
        <v>589</v>
      </c>
      <c r="C78" s="543"/>
      <c r="D78" s="543"/>
      <c r="E78" s="544"/>
      <c r="F78" s="543"/>
      <c r="G78" s="544"/>
      <c r="H78" s="544"/>
      <c r="I78" s="543"/>
      <c r="J78" s="540"/>
      <c r="K78" s="539"/>
      <c r="L78" s="540"/>
      <c r="M78" s="545"/>
      <c r="N78" s="540"/>
      <c r="O78" s="540"/>
      <c r="P78" s="541"/>
      <c r="Q78" s="542"/>
      <c r="R78" s="434"/>
      <c r="S78" s="434"/>
      <c r="T78" s="434"/>
      <c r="U78" s="434"/>
      <c r="V78" s="438"/>
      <c r="W78" s="439"/>
      <c r="X78" s="535" t="s">
        <v>590</v>
      </c>
      <c r="Y78" s="441"/>
    </row>
    <row r="79" spans="1:25" ht="15" customHeight="1">
      <c r="B79" s="279"/>
      <c r="C79" s="291"/>
      <c r="D79" s="291"/>
      <c r="E79" s="292"/>
      <c r="F79" s="291"/>
      <c r="G79" s="292"/>
      <c r="H79" s="292"/>
      <c r="I79" s="291"/>
      <c r="J79" s="287"/>
      <c r="K79" s="288"/>
      <c r="L79" s="287"/>
      <c r="M79" s="293"/>
      <c r="N79" s="287"/>
      <c r="O79" s="287"/>
      <c r="P79" s="289"/>
      <c r="Q79" s="290"/>
    </row>
    <row r="80" spans="1:25" ht="15" customHeight="1">
      <c r="B80" s="279"/>
      <c r="C80" s="291"/>
      <c r="D80" s="291"/>
      <c r="E80" s="292"/>
      <c r="F80" s="291"/>
      <c r="G80" s="292"/>
      <c r="H80" s="292"/>
      <c r="I80" s="291"/>
      <c r="J80" s="287"/>
      <c r="K80" s="288"/>
      <c r="L80" s="287"/>
      <c r="M80" s="293"/>
      <c r="N80" s="287"/>
      <c r="O80" s="287"/>
      <c r="P80" s="289"/>
      <c r="Q80" s="290"/>
    </row>
    <row r="81" spans="1:26" s="274" customFormat="1" ht="15" customHeight="1">
      <c r="A81" s="3" t="s">
        <v>108</v>
      </c>
      <c r="B81" s="3" t="s">
        <v>505</v>
      </c>
      <c r="D81" s="276"/>
      <c r="E81" s="277"/>
      <c r="F81" s="276"/>
      <c r="G81" s="277"/>
      <c r="H81" s="277"/>
      <c r="I81" s="276"/>
      <c r="M81" s="278"/>
      <c r="O81" s="276"/>
      <c r="P81" s="276"/>
      <c r="Q81" s="279"/>
      <c r="R81" s="276"/>
      <c r="S81" s="276"/>
      <c r="T81" s="276"/>
      <c r="U81" s="276"/>
      <c r="V81" s="310"/>
      <c r="W81" s="280"/>
      <c r="X81" s="360"/>
      <c r="Y81" s="281"/>
      <c r="Z81" s="281"/>
    </row>
    <row r="82" spans="1:26" s="274" customFormat="1" ht="15" customHeight="1">
      <c r="A82" s="1"/>
      <c r="B82" s="3" t="s">
        <v>109</v>
      </c>
      <c r="D82" s="276"/>
      <c r="E82" s="277"/>
      <c r="F82" s="276"/>
      <c r="G82" s="277"/>
      <c r="H82" s="277"/>
      <c r="I82" s="276"/>
      <c r="M82" s="278"/>
      <c r="O82" s="276"/>
      <c r="P82" s="276"/>
      <c r="Q82" s="279"/>
      <c r="R82" s="276"/>
      <c r="S82" s="276"/>
      <c r="T82" s="276"/>
      <c r="U82" s="276"/>
      <c r="V82" s="310"/>
      <c r="W82" s="280"/>
      <c r="X82" s="360"/>
      <c r="Y82" s="281"/>
      <c r="Z82" s="281"/>
    </row>
    <row r="83" spans="1:26">
      <c r="B83" s="3" t="s">
        <v>591</v>
      </c>
    </row>
  </sheetData>
  <mergeCells count="11">
    <mergeCell ref="A2:Y2"/>
    <mergeCell ref="A3:Y3"/>
    <mergeCell ref="B76:U76"/>
    <mergeCell ref="N75:O75"/>
    <mergeCell ref="N77:O77"/>
    <mergeCell ref="A5:M5"/>
    <mergeCell ref="A58:A59"/>
    <mergeCell ref="B58:B59"/>
    <mergeCell ref="B60:B61"/>
    <mergeCell ref="B72:U72"/>
    <mergeCell ref="A60:A61"/>
  </mergeCells>
  <pageMargins left="0.74803149606299213" right="0.15748031496062992" top="0.62992125984251968" bottom="0.59055118110236227" header="0.23622047244094491" footer="0.15748031496062992"/>
  <pageSetup paperSize="9" scale="62" orientation="portrait" r:id="rId1"/>
  <colBreaks count="1" manualBreakCount="1">
    <brk id="25" max="8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M88"/>
  <sheetViews>
    <sheetView showGridLines="0" view="pageBreakPreview" zoomScale="80" zoomScaleSheetLayoutView="80" workbookViewId="0">
      <pane xSplit="3" ySplit="4" topLeftCell="G59" activePane="bottomRight" state="frozen"/>
      <selection pane="topRight" activeCell="D1" sqref="D1"/>
      <selection pane="bottomLeft" activeCell="A5" sqref="A5"/>
      <selection pane="bottomRight" activeCell="H72" sqref="H72"/>
    </sheetView>
  </sheetViews>
  <sheetFormatPr defaultColWidth="9.140625" defaultRowHeight="15"/>
  <cols>
    <col min="1" max="1" width="8" style="265" customWidth="1"/>
    <col min="2" max="2" width="45.42578125" style="266" customWidth="1"/>
    <col min="3" max="3" width="12.5703125" style="265" customWidth="1"/>
    <col min="4" max="4" width="15" style="265" hidden="1" customWidth="1"/>
    <col min="5" max="5" width="13.28515625" style="266" hidden="1" customWidth="1"/>
    <col min="6" max="6" width="12.28515625" style="266" hidden="1" customWidth="1"/>
    <col min="7" max="7" width="19.28515625" style="317" customWidth="1"/>
    <col min="8" max="8" width="18.140625" style="413" customWidth="1"/>
    <col min="9" max="9" width="13.85546875" style="316" customWidth="1"/>
    <col min="10" max="10" width="13.85546875" style="348" customWidth="1"/>
    <col min="11" max="11" width="40.140625" style="312" customWidth="1"/>
    <col min="12" max="12" width="17.140625" style="264" customWidth="1"/>
    <col min="13" max="13" width="14.7109375" style="264" customWidth="1"/>
    <col min="14" max="16384" width="9.140625" style="264"/>
  </cols>
  <sheetData>
    <row r="1" spans="1:13" ht="52.5" customHeight="1">
      <c r="A1" s="967" t="s">
        <v>583</v>
      </c>
      <c r="B1" s="967"/>
      <c r="C1" s="967"/>
      <c r="D1" s="967"/>
      <c r="E1" s="967"/>
      <c r="F1" s="967"/>
      <c r="G1" s="967"/>
      <c r="H1" s="967"/>
      <c r="I1" s="967"/>
      <c r="J1" s="967"/>
      <c r="K1" s="967"/>
    </row>
    <row r="2" spans="1:13">
      <c r="A2" s="968"/>
      <c r="B2" s="968"/>
      <c r="C2" s="968"/>
      <c r="D2" s="968"/>
      <c r="E2" s="968"/>
      <c r="F2" s="968"/>
      <c r="G2" s="968"/>
      <c r="H2" s="968"/>
      <c r="I2" s="968"/>
      <c r="J2" s="968"/>
      <c r="K2" s="968"/>
    </row>
    <row r="3" spans="1:13" ht="55.5" customHeight="1">
      <c r="A3" s="961" t="s">
        <v>394</v>
      </c>
      <c r="B3" s="961" t="s">
        <v>1</v>
      </c>
      <c r="C3" s="961" t="s">
        <v>74</v>
      </c>
      <c r="D3" s="969" t="s">
        <v>395</v>
      </c>
      <c r="E3" s="970"/>
      <c r="F3" s="971" t="s">
        <v>396</v>
      </c>
      <c r="G3" s="961" t="s">
        <v>507</v>
      </c>
      <c r="H3" s="961" t="s">
        <v>568</v>
      </c>
      <c r="I3" s="961" t="s">
        <v>501</v>
      </c>
      <c r="J3" s="961" t="s">
        <v>502</v>
      </c>
      <c r="K3" s="961" t="s">
        <v>503</v>
      </c>
    </row>
    <row r="4" spans="1:13" ht="11.25" customHeight="1">
      <c r="A4" s="962"/>
      <c r="B4" s="962"/>
      <c r="C4" s="962"/>
      <c r="D4" s="779" t="s">
        <v>397</v>
      </c>
      <c r="E4" s="779" t="s">
        <v>398</v>
      </c>
      <c r="F4" s="971"/>
      <c r="G4" s="962"/>
      <c r="H4" s="962"/>
      <c r="I4" s="962"/>
      <c r="J4" s="962"/>
      <c r="K4" s="962"/>
    </row>
    <row r="5" spans="1:13" ht="21" customHeight="1">
      <c r="A5" s="424" t="s">
        <v>59</v>
      </c>
      <c r="B5" s="780" t="s">
        <v>399</v>
      </c>
      <c r="C5" s="781" t="s">
        <v>58</v>
      </c>
      <c r="D5" s="782" t="e">
        <f>D6+D12+D17+D18+D20+#REF!+#REF!</f>
        <v>#REF!</v>
      </c>
      <c r="E5" s="782" t="e">
        <f>E6+E12+E17+E18+E20+#REF!+#REF!</f>
        <v>#REF!</v>
      </c>
      <c r="F5" s="782" t="e">
        <f>F6+F12+F17+F18+F20+#REF!+#REF!</f>
        <v>#REF!</v>
      </c>
      <c r="G5" s="782">
        <f>G6+G12+G17+G18+G20</f>
        <v>34968.429999999993</v>
      </c>
      <c r="H5" s="783">
        <f>H6+H12+H17+H18+H20</f>
        <v>2585.9410000000003</v>
      </c>
      <c r="I5" s="783">
        <f>I6+I12+I17+I18+I20</f>
        <v>-32382.488999999994</v>
      </c>
      <c r="J5" s="784">
        <f t="shared" ref="J5:J8" si="0">H5/G5*100-100</f>
        <v>-92.604926786818851</v>
      </c>
      <c r="K5" s="300"/>
      <c r="L5" s="268"/>
    </row>
    <row r="6" spans="1:13" ht="24.75" customHeight="1">
      <c r="A6" s="785">
        <v>1</v>
      </c>
      <c r="B6" s="786" t="s">
        <v>400</v>
      </c>
      <c r="C6" s="781" t="s">
        <v>58</v>
      </c>
      <c r="D6" s="782">
        <f>SUM(D8:D11)</f>
        <v>2212</v>
      </c>
      <c r="E6" s="782">
        <f>SUM(E8:E11)</f>
        <v>1975</v>
      </c>
      <c r="F6" s="782" t="e">
        <f>SUM(F8:F11)</f>
        <v>#REF!</v>
      </c>
      <c r="G6" s="782">
        <f>SUM(G7:G11)</f>
        <v>1423.85</v>
      </c>
      <c r="H6" s="783">
        <f>SUM(H7:H11)</f>
        <v>136.78399999999999</v>
      </c>
      <c r="I6" s="783">
        <f>SUM(I7:I11)</f>
        <v>-1287.066</v>
      </c>
      <c r="J6" s="784">
        <f t="shared" si="0"/>
        <v>-90.39337008814131</v>
      </c>
      <c r="K6" s="300"/>
    </row>
    <row r="7" spans="1:13" ht="17.25" customHeight="1">
      <c r="A7" s="787">
        <v>42370</v>
      </c>
      <c r="B7" s="849" t="s">
        <v>198</v>
      </c>
      <c r="C7" s="789" t="s">
        <v>6</v>
      </c>
      <c r="D7" s="791"/>
      <c r="E7" s="791"/>
      <c r="F7" s="791"/>
      <c r="G7" s="791"/>
      <c r="H7" s="793">
        <v>3.45</v>
      </c>
      <c r="I7" s="794">
        <f>H7-G7</f>
        <v>3.45</v>
      </c>
      <c r="J7" s="784"/>
      <c r="K7" s="788" t="s">
        <v>579</v>
      </c>
    </row>
    <row r="8" spans="1:13" ht="17.25" customHeight="1">
      <c r="A8" s="787">
        <v>42371</v>
      </c>
      <c r="B8" s="788" t="s">
        <v>125</v>
      </c>
      <c r="C8" s="789" t="s">
        <v>6</v>
      </c>
      <c r="D8" s="790">
        <v>530</v>
      </c>
      <c r="E8" s="791">
        <f>ROUND(D8/1.12,0)</f>
        <v>473</v>
      </c>
      <c r="F8" s="791" t="e">
        <f>ROUND((#REF!/#REF!)*E8,3)</f>
        <v>#REF!</v>
      </c>
      <c r="G8" s="792">
        <v>783.29</v>
      </c>
      <c r="H8" s="793"/>
      <c r="I8" s="794">
        <f>H8-G8</f>
        <v>-783.29</v>
      </c>
      <c r="J8" s="784">
        <f t="shared" si="0"/>
        <v>-100</v>
      </c>
      <c r="K8" s="788" t="s">
        <v>579</v>
      </c>
    </row>
    <row r="9" spans="1:13" ht="17.25" customHeight="1">
      <c r="A9" s="787">
        <v>42372</v>
      </c>
      <c r="B9" s="788" t="s">
        <v>529</v>
      </c>
      <c r="C9" s="789" t="s">
        <v>6</v>
      </c>
      <c r="D9" s="791">
        <v>931</v>
      </c>
      <c r="E9" s="791">
        <f>ROUND(D9/1.12,0)</f>
        <v>831</v>
      </c>
      <c r="F9" s="791" t="e">
        <f>ROUND((#REF!/#REF!)*E9,3)</f>
        <v>#REF!</v>
      </c>
      <c r="G9" s="792">
        <v>82.2</v>
      </c>
      <c r="H9" s="793"/>
      <c r="I9" s="794">
        <f>H9-G9</f>
        <v>-82.2</v>
      </c>
      <c r="J9" s="784">
        <f>H9/G9*100-100</f>
        <v>-100</v>
      </c>
      <c r="K9" s="788" t="s">
        <v>579</v>
      </c>
    </row>
    <row r="10" spans="1:13" ht="17.25" customHeight="1">
      <c r="A10" s="787">
        <v>42373</v>
      </c>
      <c r="B10" s="788" t="s">
        <v>15</v>
      </c>
      <c r="C10" s="789" t="s">
        <v>6</v>
      </c>
      <c r="D10" s="791">
        <v>331</v>
      </c>
      <c r="E10" s="791">
        <f>ROUND(D10/1.12,0)</f>
        <v>296</v>
      </c>
      <c r="F10" s="791" t="e">
        <f>ROUND((#REF!/#REF!)*E10,3)</f>
        <v>#REF!</v>
      </c>
      <c r="G10" s="792">
        <v>385.99</v>
      </c>
      <c r="H10" s="793"/>
      <c r="I10" s="794">
        <f t="shared" ref="I10:I11" si="1">H10-G10</f>
        <v>-385.99</v>
      </c>
      <c r="J10" s="784">
        <f t="shared" ref="J10:J48" si="2">H10/G10*100-100</f>
        <v>-100</v>
      </c>
      <c r="K10" s="788" t="s">
        <v>579</v>
      </c>
    </row>
    <row r="11" spans="1:13" ht="17.25" customHeight="1">
      <c r="A11" s="787">
        <v>42374</v>
      </c>
      <c r="B11" s="788" t="s">
        <v>17</v>
      </c>
      <c r="C11" s="789" t="s">
        <v>6</v>
      </c>
      <c r="D11" s="791">
        <v>420</v>
      </c>
      <c r="E11" s="791">
        <f>ROUND(D11/1.12,0)</f>
        <v>375</v>
      </c>
      <c r="F11" s="791" t="e">
        <f>ROUND((#REF!/#REF!)*E11,3)</f>
        <v>#REF!</v>
      </c>
      <c r="G11" s="792">
        <v>172.37</v>
      </c>
      <c r="H11" s="793">
        <v>133.334</v>
      </c>
      <c r="I11" s="794">
        <f t="shared" si="1"/>
        <v>-39.036000000000001</v>
      </c>
      <c r="J11" s="784">
        <f t="shared" si="2"/>
        <v>-22.646632244590123</v>
      </c>
      <c r="K11" s="788" t="s">
        <v>579</v>
      </c>
    </row>
    <row r="12" spans="1:13" ht="31.5">
      <c r="A12" s="85">
        <v>2</v>
      </c>
      <c r="B12" s="795" t="s">
        <v>161</v>
      </c>
      <c r="C12" s="781" t="s">
        <v>6</v>
      </c>
      <c r="D12" s="782">
        <f>SUM(D13:D16)</f>
        <v>5601</v>
      </c>
      <c r="E12" s="782">
        <f>SUM(E13:E16)</f>
        <v>5473</v>
      </c>
      <c r="F12" s="782" t="e">
        <f>SUM(F13:F16)</f>
        <v>#REF!</v>
      </c>
      <c r="G12" s="782">
        <f>SUM(G13:G16)</f>
        <v>29558.85</v>
      </c>
      <c r="H12" s="783">
        <f>SUM(H13:H16)</f>
        <v>2333.88</v>
      </c>
      <c r="I12" s="783">
        <f t="shared" ref="I12" si="3">SUM(I13:I16)</f>
        <v>-27224.969999999998</v>
      </c>
      <c r="J12" s="784">
        <f t="shared" si="2"/>
        <v>-92.104293637946</v>
      </c>
      <c r="K12" s="788"/>
    </row>
    <row r="13" spans="1:13" ht="31.5">
      <c r="A13" s="787">
        <v>42371</v>
      </c>
      <c r="B13" s="788" t="s">
        <v>282</v>
      </c>
      <c r="C13" s="789" t="s">
        <v>6</v>
      </c>
      <c r="D13" s="791">
        <v>4980</v>
      </c>
      <c r="E13" s="791">
        <v>4980</v>
      </c>
      <c r="F13" s="791" t="e">
        <f>ROUND((#REF!/#REF!)*E13,3)</f>
        <v>#REF!</v>
      </c>
      <c r="G13" s="792">
        <v>26896.14</v>
      </c>
      <c r="H13" s="793">
        <v>2111.9290000000001</v>
      </c>
      <c r="I13" s="794">
        <f>H13-G13</f>
        <v>-24784.210999999999</v>
      </c>
      <c r="J13" s="784">
        <f t="shared" si="2"/>
        <v>-92.147836083542103</v>
      </c>
      <c r="K13" s="788" t="s">
        <v>579</v>
      </c>
      <c r="L13" s="267"/>
      <c r="M13" s="267"/>
    </row>
    <row r="14" spans="1:13" ht="17.25" customHeight="1">
      <c r="A14" s="787">
        <v>42402</v>
      </c>
      <c r="B14" s="788" t="s">
        <v>22</v>
      </c>
      <c r="C14" s="789" t="s">
        <v>6</v>
      </c>
      <c r="D14" s="791">
        <v>268.89999999999998</v>
      </c>
      <c r="E14" s="791">
        <v>268.89999999999998</v>
      </c>
      <c r="F14" s="791" t="e">
        <f>ROUND((#REF!/#REF!)*E14,3)</f>
        <v>#REF!</v>
      </c>
      <c r="G14" s="792">
        <v>1452.39</v>
      </c>
      <c r="H14" s="794">
        <v>133.89500000000001</v>
      </c>
      <c r="I14" s="794">
        <f t="shared" ref="I14:I17" si="4">H14-G14</f>
        <v>-1318.4950000000001</v>
      </c>
      <c r="J14" s="784">
        <f t="shared" si="2"/>
        <v>-90.781057429478309</v>
      </c>
      <c r="K14" s="788" t="s">
        <v>579</v>
      </c>
      <c r="L14" s="267"/>
      <c r="M14" s="267"/>
    </row>
    <row r="15" spans="1:13" ht="17.25" customHeight="1">
      <c r="A15" s="787">
        <v>42431</v>
      </c>
      <c r="B15" s="788" t="s">
        <v>46</v>
      </c>
      <c r="C15" s="789" t="s">
        <v>6</v>
      </c>
      <c r="D15" s="791">
        <v>224.1</v>
      </c>
      <c r="E15" s="791">
        <v>224.1</v>
      </c>
      <c r="F15" s="791" t="e">
        <f>ROUND((#REF!/#REF!)*E15,3)</f>
        <v>#REF!</v>
      </c>
      <c r="G15" s="792">
        <v>1210.32</v>
      </c>
      <c r="H15" s="793">
        <v>88.055999999999997</v>
      </c>
      <c r="I15" s="794">
        <f t="shared" si="4"/>
        <v>-1122.2639999999999</v>
      </c>
      <c r="J15" s="784">
        <f t="shared" si="2"/>
        <v>-92.724568709101732</v>
      </c>
      <c r="K15" s="788" t="s">
        <v>579</v>
      </c>
      <c r="L15" s="267"/>
      <c r="M15" s="267"/>
    </row>
    <row r="16" spans="1:13" ht="17.25" customHeight="1">
      <c r="A16" s="787">
        <v>42462</v>
      </c>
      <c r="B16" s="788" t="s">
        <v>401</v>
      </c>
      <c r="C16" s="789" t="s">
        <v>6</v>
      </c>
      <c r="D16" s="791">
        <v>128</v>
      </c>
      <c r="E16" s="791"/>
      <c r="F16" s="791" t="e">
        <f>ROUND((#REF!/#REF!)*E16,3)</f>
        <v>#REF!</v>
      </c>
      <c r="G16" s="792"/>
      <c r="H16" s="793"/>
      <c r="I16" s="794">
        <f t="shared" si="4"/>
        <v>0</v>
      </c>
      <c r="J16" s="784"/>
      <c r="K16" s="788" t="s">
        <v>579</v>
      </c>
      <c r="L16" s="267"/>
      <c r="M16" s="267"/>
    </row>
    <row r="17" spans="1:13" ht="17.25" customHeight="1">
      <c r="A17" s="781">
        <v>3</v>
      </c>
      <c r="B17" s="795" t="s">
        <v>80</v>
      </c>
      <c r="C17" s="781" t="s">
        <v>6</v>
      </c>
      <c r="D17" s="782">
        <v>616</v>
      </c>
      <c r="E17" s="782">
        <v>616</v>
      </c>
      <c r="F17" s="782" t="e">
        <f>ROUND((#REF!/#REF!)*E17,3)</f>
        <v>#REF!</v>
      </c>
      <c r="G17" s="796">
        <v>1716.3</v>
      </c>
      <c r="H17" s="783">
        <v>7.6779999999999999</v>
      </c>
      <c r="I17" s="794">
        <f t="shared" si="4"/>
        <v>-1708.6219999999998</v>
      </c>
      <c r="J17" s="784">
        <f t="shared" si="2"/>
        <v>-99.552642311950123</v>
      </c>
      <c r="K17" s="788" t="s">
        <v>579</v>
      </c>
      <c r="L17" s="267"/>
      <c r="M17" s="267"/>
    </row>
    <row r="18" spans="1:13" ht="16.5" customHeight="1">
      <c r="A18" s="781">
        <v>4</v>
      </c>
      <c r="B18" s="795" t="s">
        <v>115</v>
      </c>
      <c r="C18" s="781" t="s">
        <v>6</v>
      </c>
      <c r="D18" s="782">
        <f>D19</f>
        <v>924</v>
      </c>
      <c r="E18" s="782">
        <f>E19</f>
        <v>825</v>
      </c>
      <c r="F18" s="782" t="e">
        <f>F19</f>
        <v>#REF!</v>
      </c>
      <c r="G18" s="782">
        <f>G19</f>
        <v>1569.37</v>
      </c>
      <c r="H18" s="783">
        <f>H19</f>
        <v>0</v>
      </c>
      <c r="I18" s="783">
        <f t="shared" ref="I18" si="5">I19</f>
        <v>-1569.37</v>
      </c>
      <c r="J18" s="784">
        <f t="shared" si="2"/>
        <v>-100</v>
      </c>
      <c r="K18" s="788"/>
      <c r="L18" s="267"/>
      <c r="M18" s="267"/>
    </row>
    <row r="19" spans="1:13" ht="16.5" customHeight="1">
      <c r="A19" s="797" t="s">
        <v>26</v>
      </c>
      <c r="B19" s="788" t="s">
        <v>27</v>
      </c>
      <c r="C19" s="789" t="s">
        <v>6</v>
      </c>
      <c r="D19" s="791">
        <v>924</v>
      </c>
      <c r="E19" s="791">
        <f>ROUND(D19/1.12,0)</f>
        <v>825</v>
      </c>
      <c r="F19" s="791" t="e">
        <f>ROUND((#REF!/#REF!)*E19,3)</f>
        <v>#REF!</v>
      </c>
      <c r="G19" s="792">
        <v>1569.37</v>
      </c>
      <c r="H19" s="793"/>
      <c r="I19" s="794">
        <f>H19-G19</f>
        <v>-1569.37</v>
      </c>
      <c r="J19" s="784">
        <f t="shared" si="2"/>
        <v>-100</v>
      </c>
      <c r="K19" s="788" t="s">
        <v>579</v>
      </c>
      <c r="L19" s="267"/>
    </row>
    <row r="20" spans="1:13" ht="17.25" customHeight="1">
      <c r="A20" s="781">
        <v>5</v>
      </c>
      <c r="B20" s="795" t="s">
        <v>318</v>
      </c>
      <c r="C20" s="781" t="s">
        <v>6</v>
      </c>
      <c r="D20" s="782">
        <f>SUM(D23:D26)</f>
        <v>331</v>
      </c>
      <c r="E20" s="782">
        <f>SUM(E23:E26)</f>
        <v>296</v>
      </c>
      <c r="F20" s="782" t="e">
        <f>SUM(F23:F26)</f>
        <v>#REF!</v>
      </c>
      <c r="G20" s="782">
        <f t="shared" ref="G20:I20" si="6">SUM(G21:G26)</f>
        <v>700.06</v>
      </c>
      <c r="H20" s="783">
        <f t="shared" si="6"/>
        <v>107.599</v>
      </c>
      <c r="I20" s="783">
        <f t="shared" si="6"/>
        <v>-592.46100000000001</v>
      </c>
      <c r="J20" s="784">
        <f t="shared" si="2"/>
        <v>-84.630031711567582</v>
      </c>
      <c r="K20" s="788"/>
      <c r="L20" s="267"/>
      <c r="M20" s="267"/>
    </row>
    <row r="21" spans="1:13" ht="17.25" customHeight="1">
      <c r="A21" s="797" t="s">
        <v>29</v>
      </c>
      <c r="B21" s="788" t="s">
        <v>208</v>
      </c>
      <c r="C21" s="789" t="s">
        <v>404</v>
      </c>
      <c r="D21" s="798"/>
      <c r="E21" s="798"/>
      <c r="F21" s="798"/>
      <c r="G21" s="799">
        <v>211.94</v>
      </c>
      <c r="H21" s="793">
        <f>14.262+0.5+52.5+17.363</f>
        <v>84.625</v>
      </c>
      <c r="I21" s="327">
        <f>H21-G21</f>
        <v>-127.315</v>
      </c>
      <c r="J21" s="784">
        <f t="shared" si="2"/>
        <v>-60.071246579220535</v>
      </c>
      <c r="K21" s="788" t="s">
        <v>579</v>
      </c>
    </row>
    <row r="22" spans="1:13" ht="17.25" customHeight="1">
      <c r="A22" s="797" t="s">
        <v>31</v>
      </c>
      <c r="B22" s="788" t="s">
        <v>286</v>
      </c>
      <c r="C22" s="789" t="s">
        <v>6</v>
      </c>
      <c r="D22" s="798"/>
      <c r="E22" s="798"/>
      <c r="F22" s="798"/>
      <c r="G22" s="798"/>
      <c r="H22" s="793">
        <v>22.974</v>
      </c>
      <c r="I22" s="327">
        <f t="shared" ref="I22:I26" si="7">H22-G22</f>
        <v>22.974</v>
      </c>
      <c r="J22" s="784"/>
      <c r="K22" s="788" t="s">
        <v>579</v>
      </c>
    </row>
    <row r="23" spans="1:13" ht="17.25" customHeight="1">
      <c r="A23" s="797" t="s">
        <v>33</v>
      </c>
      <c r="B23" s="788" t="s">
        <v>402</v>
      </c>
      <c r="C23" s="789" t="s">
        <v>6</v>
      </c>
      <c r="D23" s="791">
        <v>247</v>
      </c>
      <c r="E23" s="791">
        <f>ROUND(D23/1.12,0)</f>
        <v>221</v>
      </c>
      <c r="F23" s="791" t="e">
        <f>ROUND((#REF!/#REF!)*E23,3)</f>
        <v>#REF!</v>
      </c>
      <c r="G23" s="792">
        <v>247</v>
      </c>
      <c r="H23" s="793"/>
      <c r="I23" s="327">
        <f t="shared" si="7"/>
        <v>-247</v>
      </c>
      <c r="J23" s="784">
        <f t="shared" si="2"/>
        <v>-100</v>
      </c>
      <c r="K23" s="788" t="s">
        <v>579</v>
      </c>
    </row>
    <row r="24" spans="1:13" ht="17.25" customHeight="1">
      <c r="A24" s="797" t="s">
        <v>35</v>
      </c>
      <c r="B24" s="788" t="s">
        <v>530</v>
      </c>
      <c r="C24" s="789" t="s">
        <v>58</v>
      </c>
      <c r="D24" s="791"/>
      <c r="E24" s="791"/>
      <c r="F24" s="791"/>
      <c r="G24" s="792">
        <v>22.46</v>
      </c>
      <c r="H24" s="793"/>
      <c r="I24" s="327">
        <f>H24-G24</f>
        <v>-22.46</v>
      </c>
      <c r="J24" s="784">
        <f t="shared" si="2"/>
        <v>-100</v>
      </c>
      <c r="K24" s="788" t="s">
        <v>579</v>
      </c>
    </row>
    <row r="25" spans="1:13" ht="17.25" customHeight="1">
      <c r="A25" s="797" t="s">
        <v>36</v>
      </c>
      <c r="B25" s="788" t="s">
        <v>403</v>
      </c>
      <c r="C25" s="789" t="s">
        <v>6</v>
      </c>
      <c r="D25" s="791">
        <v>84</v>
      </c>
      <c r="E25" s="791">
        <f>ROUND(D25/1.12,0)</f>
        <v>75</v>
      </c>
      <c r="F25" s="791" t="e">
        <f>ROUND((#REF!/#REF!)*E25,3)</f>
        <v>#REF!</v>
      </c>
      <c r="G25" s="792">
        <v>8.5299999999999994</v>
      </c>
      <c r="H25" s="793"/>
      <c r="I25" s="327">
        <f t="shared" si="7"/>
        <v>-8.5299999999999994</v>
      </c>
      <c r="J25" s="784">
        <f t="shared" si="2"/>
        <v>-100</v>
      </c>
      <c r="K25" s="788" t="s">
        <v>579</v>
      </c>
      <c r="L25" s="267"/>
      <c r="M25" s="267"/>
    </row>
    <row r="26" spans="1:13" ht="17.25" customHeight="1">
      <c r="A26" s="797" t="s">
        <v>37</v>
      </c>
      <c r="B26" s="788" t="s">
        <v>134</v>
      </c>
      <c r="C26" s="789" t="s">
        <v>58</v>
      </c>
      <c r="D26" s="791"/>
      <c r="E26" s="791"/>
      <c r="F26" s="791" t="e">
        <f>ROUND((#REF!/#REF!)*E26,3)</f>
        <v>#REF!</v>
      </c>
      <c r="G26" s="792">
        <v>210.13</v>
      </c>
      <c r="H26" s="793"/>
      <c r="I26" s="327">
        <f t="shared" si="7"/>
        <v>-210.13</v>
      </c>
      <c r="J26" s="784">
        <f t="shared" si="2"/>
        <v>-100</v>
      </c>
      <c r="K26" s="788" t="s">
        <v>579</v>
      </c>
    </row>
    <row r="27" spans="1:13" ht="16.5" customHeight="1">
      <c r="A27" s="424" t="s">
        <v>82</v>
      </c>
      <c r="B27" s="795" t="s">
        <v>406</v>
      </c>
      <c r="C27" s="781" t="s">
        <v>6</v>
      </c>
      <c r="D27" s="782" t="e">
        <f>D28+#REF!+D32+SUM(D41:D46)</f>
        <v>#REF!</v>
      </c>
      <c r="E27" s="782" t="e">
        <f>E28+#REF!+E32+SUM(E41:E46)</f>
        <v>#REF!</v>
      </c>
      <c r="F27" s="782" t="e">
        <f>SUM(F28)</f>
        <v>#REF!</v>
      </c>
      <c r="G27" s="782">
        <f>G28+G32+G40</f>
        <v>8960.0399999999991</v>
      </c>
      <c r="H27" s="783">
        <f>H28+H32+H40</f>
        <v>1640.2610000000002</v>
      </c>
      <c r="I27" s="783">
        <f>I28+I32+I40</f>
        <v>-7326.1590000000006</v>
      </c>
      <c r="J27" s="784">
        <f t="shared" si="2"/>
        <v>-81.693597350011828</v>
      </c>
      <c r="K27" s="788"/>
    </row>
    <row r="28" spans="1:13" ht="30" customHeight="1">
      <c r="A28" s="781">
        <v>6</v>
      </c>
      <c r="B28" s="795" t="s">
        <v>407</v>
      </c>
      <c r="C28" s="781" t="s">
        <v>6</v>
      </c>
      <c r="D28" s="782">
        <f>SUM(D29:D31)</f>
        <v>3184.9</v>
      </c>
      <c r="E28" s="782">
        <f>SUM(E29:E31)</f>
        <v>3184.9</v>
      </c>
      <c r="F28" s="782" t="e">
        <f>SUM(F29:F32)+SUM(F41:F46)+#REF!</f>
        <v>#REF!</v>
      </c>
      <c r="G28" s="782">
        <f>SUM(G29:G31)</f>
        <v>7385.83</v>
      </c>
      <c r="H28" s="783">
        <f>SUM(H29:H31)</f>
        <v>1554.9290000000001</v>
      </c>
      <c r="I28" s="783">
        <f>SUM(I29:I31)</f>
        <v>-5830.9009999999998</v>
      </c>
      <c r="J28" s="784">
        <f t="shared" si="2"/>
        <v>-78.947132549760823</v>
      </c>
      <c r="K28" s="788"/>
    </row>
    <row r="29" spans="1:13" ht="30.75" customHeight="1">
      <c r="A29" s="797" t="s">
        <v>44</v>
      </c>
      <c r="B29" s="788" t="s">
        <v>408</v>
      </c>
      <c r="C29" s="789" t="s">
        <v>6</v>
      </c>
      <c r="D29" s="791">
        <v>2898</v>
      </c>
      <c r="E29" s="791">
        <v>2898</v>
      </c>
      <c r="F29" s="791" t="e">
        <f>ROUND((#REF!/#REF!)*E29,3)</f>
        <v>#REF!</v>
      </c>
      <c r="G29" s="792">
        <v>6720.5</v>
      </c>
      <c r="H29" s="793">
        <v>1406.8620000000001</v>
      </c>
      <c r="I29" s="794">
        <f>H29-G29</f>
        <v>-5313.6379999999999</v>
      </c>
      <c r="J29" s="784">
        <f t="shared" si="2"/>
        <v>-79.066111152444009</v>
      </c>
      <c r="K29" s="788" t="s">
        <v>579</v>
      </c>
      <c r="L29" s="301"/>
    </row>
    <row r="30" spans="1:13" ht="16.5" customHeight="1">
      <c r="A30" s="797" t="s">
        <v>47</v>
      </c>
      <c r="B30" s="788" t="s">
        <v>22</v>
      </c>
      <c r="C30" s="789" t="s">
        <v>6</v>
      </c>
      <c r="D30" s="791">
        <v>156.5</v>
      </c>
      <c r="E30" s="791">
        <v>156.5</v>
      </c>
      <c r="F30" s="791" t="e">
        <f>ROUND((#REF!/#REF!)*E30,3)</f>
        <v>#REF!</v>
      </c>
      <c r="G30" s="792">
        <v>362.91</v>
      </c>
      <c r="H30" s="793">
        <v>108.26</v>
      </c>
      <c r="I30" s="794">
        <f t="shared" ref="I30:I31" si="8">H30-G30</f>
        <v>-254.65000000000003</v>
      </c>
      <c r="J30" s="784">
        <f t="shared" si="2"/>
        <v>-70.168912402524043</v>
      </c>
      <c r="K30" s="788" t="s">
        <v>579</v>
      </c>
    </row>
    <row r="31" spans="1:13" ht="16.5" customHeight="1">
      <c r="A31" s="797" t="s">
        <v>48</v>
      </c>
      <c r="B31" s="788" t="s">
        <v>409</v>
      </c>
      <c r="C31" s="789" t="s">
        <v>6</v>
      </c>
      <c r="D31" s="791">
        <v>130.4</v>
      </c>
      <c r="E31" s="791">
        <v>130.4</v>
      </c>
      <c r="F31" s="791" t="e">
        <f>ROUND((#REF!/#REF!)*E31,3)</f>
        <v>#REF!</v>
      </c>
      <c r="G31" s="792">
        <v>302.42</v>
      </c>
      <c r="H31" s="793">
        <v>39.807000000000002</v>
      </c>
      <c r="I31" s="794">
        <f t="shared" si="8"/>
        <v>-262.613</v>
      </c>
      <c r="J31" s="784">
        <f t="shared" si="2"/>
        <v>-86.837180080682487</v>
      </c>
      <c r="K31" s="788" t="s">
        <v>579</v>
      </c>
    </row>
    <row r="32" spans="1:13" s="269" customFormat="1" ht="16.5" customHeight="1">
      <c r="A32" s="800" t="s">
        <v>118</v>
      </c>
      <c r="B32" s="795" t="s">
        <v>405</v>
      </c>
      <c r="C32" s="781" t="s">
        <v>6</v>
      </c>
      <c r="D32" s="782">
        <f>SUM(D33:D38)</f>
        <v>816</v>
      </c>
      <c r="E32" s="782">
        <f>SUM(E33:E38)</f>
        <v>885.7</v>
      </c>
      <c r="F32" s="782" t="e">
        <f>SUM(F33:F38)</f>
        <v>#REF!</v>
      </c>
      <c r="G32" s="782">
        <f>SUM(G33:G39)</f>
        <v>1239.31</v>
      </c>
      <c r="H32" s="783">
        <f>SUM(H33:H39)</f>
        <v>26.812999999999999</v>
      </c>
      <c r="I32" s="783">
        <f t="shared" ref="I32" si="9">SUM(I33:I38)</f>
        <v>-1218.877</v>
      </c>
      <c r="J32" s="784">
        <f t="shared" si="2"/>
        <v>-97.836457383544072</v>
      </c>
      <c r="K32" s="788"/>
    </row>
    <row r="33" spans="1:11" ht="17.25" customHeight="1">
      <c r="A33" s="797" t="s">
        <v>120</v>
      </c>
      <c r="B33" s="41" t="s">
        <v>117</v>
      </c>
      <c r="C33" s="87" t="s">
        <v>58</v>
      </c>
      <c r="D33" s="791">
        <v>104</v>
      </c>
      <c r="E33" s="791">
        <v>104</v>
      </c>
      <c r="F33" s="791" t="e">
        <f>ROUND((#REF!/#REF!)*E33,3)</f>
        <v>#REF!</v>
      </c>
      <c r="G33" s="792">
        <v>968.42</v>
      </c>
      <c r="H33" s="793"/>
      <c r="I33" s="794">
        <f>H33-G33</f>
        <v>-968.42</v>
      </c>
      <c r="J33" s="784">
        <f t="shared" si="2"/>
        <v>-100</v>
      </c>
      <c r="K33" s="788" t="s">
        <v>579</v>
      </c>
    </row>
    <row r="34" spans="1:11" ht="17.25" customHeight="1">
      <c r="A34" s="797" t="s">
        <v>121</v>
      </c>
      <c r="B34" s="41" t="s">
        <v>531</v>
      </c>
      <c r="C34" s="87" t="s">
        <v>58</v>
      </c>
      <c r="D34" s="791">
        <v>11</v>
      </c>
      <c r="E34" s="791">
        <v>81</v>
      </c>
      <c r="F34" s="791" t="e">
        <f>ROUND((#REF!/#REF!)*E34,3)</f>
        <v>#REF!</v>
      </c>
      <c r="G34" s="792">
        <v>61.84</v>
      </c>
      <c r="H34" s="793"/>
      <c r="I34" s="794">
        <f t="shared" ref="I34:I47" si="10">H34-G34</f>
        <v>-61.84</v>
      </c>
      <c r="J34" s="784">
        <f t="shared" si="2"/>
        <v>-100</v>
      </c>
      <c r="K34" s="788" t="s">
        <v>579</v>
      </c>
    </row>
    <row r="35" spans="1:11" ht="17.25" customHeight="1">
      <c r="A35" s="797" t="s">
        <v>220</v>
      </c>
      <c r="B35" s="41" t="s">
        <v>52</v>
      </c>
      <c r="C35" s="87" t="s">
        <v>58</v>
      </c>
      <c r="D35" s="791">
        <v>24</v>
      </c>
      <c r="E35" s="791">
        <v>25.2</v>
      </c>
      <c r="F35" s="791" t="e">
        <f>ROUND((#REF!/#REF!)*E35,3)</f>
        <v>#REF!</v>
      </c>
      <c r="G35" s="792">
        <v>80.650000000000006</v>
      </c>
      <c r="H35" s="793"/>
      <c r="I35" s="794">
        <f t="shared" si="10"/>
        <v>-80.650000000000006</v>
      </c>
      <c r="J35" s="784">
        <f t="shared" si="2"/>
        <v>-100</v>
      </c>
      <c r="K35" s="788" t="s">
        <v>579</v>
      </c>
    </row>
    <row r="36" spans="1:11" ht="17.25" customHeight="1">
      <c r="A36" s="797" t="s">
        <v>222</v>
      </c>
      <c r="B36" s="41" t="s">
        <v>410</v>
      </c>
      <c r="C36" s="87" t="s">
        <v>58</v>
      </c>
      <c r="D36" s="791"/>
      <c r="E36" s="791"/>
      <c r="F36" s="791"/>
      <c r="G36" s="792"/>
      <c r="H36" s="793">
        <v>20.433</v>
      </c>
      <c r="I36" s="794">
        <f t="shared" si="10"/>
        <v>20.433</v>
      </c>
      <c r="J36" s="784"/>
      <c r="K36" s="788" t="s">
        <v>579</v>
      </c>
    </row>
    <row r="37" spans="1:11" ht="17.25" customHeight="1">
      <c r="A37" s="797" t="s">
        <v>224</v>
      </c>
      <c r="B37" s="632" t="s">
        <v>532</v>
      </c>
      <c r="C37" s="87" t="s">
        <v>58</v>
      </c>
      <c r="D37" s="791">
        <v>12</v>
      </c>
      <c r="E37" s="791">
        <v>10.5</v>
      </c>
      <c r="F37" s="791" t="e">
        <f>ROUND((#REF!/#REF!)*E37,3)</f>
        <v>#REF!</v>
      </c>
      <c r="G37" s="792">
        <v>102.8</v>
      </c>
      <c r="H37" s="793"/>
      <c r="I37" s="794">
        <f t="shared" si="10"/>
        <v>-102.8</v>
      </c>
      <c r="J37" s="784">
        <f t="shared" si="2"/>
        <v>-100</v>
      </c>
      <c r="K37" s="788" t="s">
        <v>579</v>
      </c>
    </row>
    <row r="38" spans="1:11" ht="17.25" customHeight="1">
      <c r="A38" s="797" t="s">
        <v>226</v>
      </c>
      <c r="B38" s="41" t="s">
        <v>533</v>
      </c>
      <c r="C38" s="87" t="s">
        <v>58</v>
      </c>
      <c r="D38" s="791">
        <v>665</v>
      </c>
      <c r="E38" s="791">
        <v>665</v>
      </c>
      <c r="F38" s="791" t="e">
        <f>ROUND((#REF!/#REF!)*E38,3)</f>
        <v>#REF!</v>
      </c>
      <c r="G38" s="792">
        <v>25.6</v>
      </c>
      <c r="H38" s="793"/>
      <c r="I38" s="794">
        <f t="shared" si="10"/>
        <v>-25.6</v>
      </c>
      <c r="J38" s="784">
        <f t="shared" si="2"/>
        <v>-100</v>
      </c>
      <c r="K38" s="788" t="s">
        <v>579</v>
      </c>
    </row>
    <row r="39" spans="1:11" ht="17.25" customHeight="1">
      <c r="A39" s="797" t="s">
        <v>227</v>
      </c>
      <c r="B39" s="41" t="s">
        <v>411</v>
      </c>
      <c r="C39" s="87" t="s">
        <v>58</v>
      </c>
      <c r="D39" s="791"/>
      <c r="E39" s="791"/>
      <c r="F39" s="791"/>
      <c r="G39" s="792"/>
      <c r="H39" s="793">
        <v>6.38</v>
      </c>
      <c r="I39" s="794">
        <f t="shared" si="10"/>
        <v>6.38</v>
      </c>
      <c r="J39" s="784"/>
      <c r="K39" s="788" t="s">
        <v>579</v>
      </c>
    </row>
    <row r="40" spans="1:11" ht="18.75" customHeight="1">
      <c r="A40" s="800" t="s">
        <v>299</v>
      </c>
      <c r="B40" s="425" t="s">
        <v>318</v>
      </c>
      <c r="C40" s="424" t="s">
        <v>58</v>
      </c>
      <c r="D40" s="782"/>
      <c r="E40" s="782"/>
      <c r="F40" s="782"/>
      <c r="G40" s="796">
        <f>SUM(G41:G47)</f>
        <v>334.9</v>
      </c>
      <c r="H40" s="801">
        <f>SUM(H41:H47)</f>
        <v>58.519000000000005</v>
      </c>
      <c r="I40" s="801">
        <f>SUM(I41:I47)</f>
        <v>-276.38099999999997</v>
      </c>
      <c r="J40" s="784">
        <f t="shared" si="2"/>
        <v>-82.52642579874589</v>
      </c>
      <c r="K40" s="788"/>
    </row>
    <row r="41" spans="1:11" s="269" customFormat="1" ht="16.5" customHeight="1">
      <c r="A41" s="797" t="s">
        <v>300</v>
      </c>
      <c r="B41" s="788" t="s">
        <v>534</v>
      </c>
      <c r="C41" s="789" t="s">
        <v>6</v>
      </c>
      <c r="D41" s="782">
        <v>38</v>
      </c>
      <c r="E41" s="782">
        <f>ROUND(D41/1.12,0)</f>
        <v>34</v>
      </c>
      <c r="F41" s="791" t="e">
        <f>ROUND((#REF!/#REF!)*E41,3)</f>
        <v>#REF!</v>
      </c>
      <c r="G41" s="802"/>
      <c r="H41" s="793"/>
      <c r="I41" s="794">
        <f>H41-G41</f>
        <v>0</v>
      </c>
      <c r="J41" s="784"/>
      <c r="K41" s="788" t="s">
        <v>579</v>
      </c>
    </row>
    <row r="42" spans="1:11" s="269" customFormat="1" ht="16.5" customHeight="1">
      <c r="A42" s="797" t="s">
        <v>301</v>
      </c>
      <c r="B42" s="788" t="s">
        <v>148</v>
      </c>
      <c r="C42" s="789" t="s">
        <v>6</v>
      </c>
      <c r="D42" s="782">
        <v>150</v>
      </c>
      <c r="E42" s="782">
        <f>ROUND(D42/1.12,0)</f>
        <v>134</v>
      </c>
      <c r="F42" s="791" t="e">
        <f>ROUND((#REF!/#REF!)*E42,3)</f>
        <v>#REF!</v>
      </c>
      <c r="G42" s="802"/>
      <c r="H42" s="783"/>
      <c r="I42" s="794">
        <f t="shared" si="10"/>
        <v>0</v>
      </c>
      <c r="J42" s="784"/>
      <c r="K42" s="788" t="s">
        <v>579</v>
      </c>
    </row>
    <row r="43" spans="1:11" s="269" customFormat="1" ht="16.5" customHeight="1">
      <c r="A43" s="797" t="s">
        <v>382</v>
      </c>
      <c r="B43" s="788" t="s">
        <v>231</v>
      </c>
      <c r="C43" s="789" t="s">
        <v>6</v>
      </c>
      <c r="D43" s="782">
        <v>60</v>
      </c>
      <c r="E43" s="782">
        <f>ROUND(D43/1.12,0)</f>
        <v>54</v>
      </c>
      <c r="F43" s="791" t="e">
        <f>ROUND((#REF!/#REF!)*E43,3)</f>
        <v>#REF!</v>
      </c>
      <c r="G43" s="792">
        <v>79</v>
      </c>
      <c r="H43" s="783"/>
      <c r="I43" s="794">
        <f t="shared" si="10"/>
        <v>-79</v>
      </c>
      <c r="J43" s="784">
        <f t="shared" si="2"/>
        <v>-100</v>
      </c>
      <c r="K43" s="788" t="s">
        <v>579</v>
      </c>
    </row>
    <row r="44" spans="1:11" s="269" customFormat="1" ht="16.5" customHeight="1">
      <c r="A44" s="797" t="s">
        <v>383</v>
      </c>
      <c r="B44" s="788" t="s">
        <v>55</v>
      </c>
      <c r="C44" s="789" t="s">
        <v>6</v>
      </c>
      <c r="D44" s="782">
        <v>167</v>
      </c>
      <c r="E44" s="782">
        <f>ROUND(D44/1.12,0)</f>
        <v>149</v>
      </c>
      <c r="F44" s="791" t="e">
        <f>ROUND((#REF!/#REF!)*E44,3)</f>
        <v>#REF!</v>
      </c>
      <c r="G44" s="792">
        <v>189</v>
      </c>
      <c r="H44" s="793">
        <f>13.089-1.05</f>
        <v>12.039</v>
      </c>
      <c r="I44" s="794">
        <f t="shared" si="10"/>
        <v>-176.96100000000001</v>
      </c>
      <c r="J44" s="784">
        <f t="shared" si="2"/>
        <v>-93.630158730158726</v>
      </c>
      <c r="K44" s="788" t="s">
        <v>579</v>
      </c>
    </row>
    <row r="45" spans="1:11" s="269" customFormat="1" ht="16.5" customHeight="1">
      <c r="A45" s="797" t="s">
        <v>384</v>
      </c>
      <c r="B45" s="788" t="s">
        <v>535</v>
      </c>
      <c r="C45" s="789" t="s">
        <v>6</v>
      </c>
      <c r="D45" s="782">
        <v>150</v>
      </c>
      <c r="E45" s="782">
        <f>ROUND(D45/1.12,0)</f>
        <v>134</v>
      </c>
      <c r="F45" s="791" t="e">
        <f>ROUND((#REF!/#REF!)*E45,3)</f>
        <v>#REF!</v>
      </c>
      <c r="G45" s="792">
        <v>29.5</v>
      </c>
      <c r="H45" s="793">
        <v>1.1000000000000001</v>
      </c>
      <c r="I45" s="794">
        <f t="shared" si="10"/>
        <v>-28.4</v>
      </c>
      <c r="J45" s="784">
        <f t="shared" si="2"/>
        <v>-96.271186440677965</v>
      </c>
      <c r="K45" s="788" t="s">
        <v>579</v>
      </c>
    </row>
    <row r="46" spans="1:11" s="269" customFormat="1" ht="16.5" customHeight="1">
      <c r="A46" s="797" t="s">
        <v>385</v>
      </c>
      <c r="B46" s="788" t="s">
        <v>536</v>
      </c>
      <c r="C46" s="789" t="s">
        <v>6</v>
      </c>
      <c r="D46" s="782">
        <v>500</v>
      </c>
      <c r="E46" s="782"/>
      <c r="F46" s="791" t="e">
        <f>ROUND((#REF!/#REF!)*E46,3)</f>
        <v>#REF!</v>
      </c>
      <c r="G46" s="792">
        <v>37.4</v>
      </c>
      <c r="H46" s="783"/>
      <c r="I46" s="794">
        <f t="shared" si="10"/>
        <v>-37.4</v>
      </c>
      <c r="J46" s="784">
        <f t="shared" si="2"/>
        <v>-100</v>
      </c>
      <c r="K46" s="788" t="s">
        <v>579</v>
      </c>
    </row>
    <row r="47" spans="1:11" s="269" customFormat="1" ht="16.5" customHeight="1">
      <c r="A47" s="797" t="s">
        <v>540</v>
      </c>
      <c r="B47" s="788" t="s">
        <v>134</v>
      </c>
      <c r="C47" s="789" t="s">
        <v>6</v>
      </c>
      <c r="D47" s="782"/>
      <c r="E47" s="782"/>
      <c r="F47" s="791"/>
      <c r="G47" s="792"/>
      <c r="H47" s="793">
        <v>45.38</v>
      </c>
      <c r="I47" s="794">
        <f t="shared" si="10"/>
        <v>45.38</v>
      </c>
      <c r="J47" s="784"/>
      <c r="K47" s="788" t="s">
        <v>579</v>
      </c>
    </row>
    <row r="48" spans="1:11" ht="18" customHeight="1">
      <c r="A48" s="781" t="s">
        <v>61</v>
      </c>
      <c r="B48" s="795" t="s">
        <v>60</v>
      </c>
      <c r="C48" s="781" t="s">
        <v>6</v>
      </c>
      <c r="D48" s="782" t="e">
        <f>D5+D27</f>
        <v>#REF!</v>
      </c>
      <c r="E48" s="782" t="e">
        <f>E5+E27</f>
        <v>#REF!</v>
      </c>
      <c r="F48" s="782" t="e">
        <f>F5+F27</f>
        <v>#REF!</v>
      </c>
      <c r="G48" s="782">
        <f>G27+G5</f>
        <v>43928.469999999994</v>
      </c>
      <c r="H48" s="783">
        <f t="shared" ref="H48:I48" si="11">H5+H27</f>
        <v>4226.2020000000002</v>
      </c>
      <c r="I48" s="783">
        <f t="shared" si="11"/>
        <v>-39708.647999999994</v>
      </c>
      <c r="J48" s="784">
        <f t="shared" si="2"/>
        <v>-90.37935534745462</v>
      </c>
      <c r="K48" s="788"/>
    </row>
    <row r="49" spans="1:11" ht="15.75">
      <c r="A49" s="781" t="s">
        <v>63</v>
      </c>
      <c r="B49" s="795" t="s">
        <v>386</v>
      </c>
      <c r="C49" s="781" t="s">
        <v>6</v>
      </c>
      <c r="D49" s="782" t="e">
        <f t="shared" ref="D49:H49" si="12">D50-D48</f>
        <v>#REF!</v>
      </c>
      <c r="E49" s="782" t="e">
        <f t="shared" si="12"/>
        <v>#REF!</v>
      </c>
      <c r="F49" s="782" t="e">
        <f t="shared" si="12"/>
        <v>#REF!</v>
      </c>
      <c r="G49" s="796">
        <f t="shared" si="12"/>
        <v>0</v>
      </c>
      <c r="H49" s="783">
        <f t="shared" si="12"/>
        <v>-2989.3341600000003</v>
      </c>
      <c r="I49" s="794"/>
      <c r="J49" s="784"/>
      <c r="K49" s="788"/>
    </row>
    <row r="50" spans="1:11" ht="18" customHeight="1">
      <c r="A50" s="781" t="s">
        <v>65</v>
      </c>
      <c r="B50" s="795" t="s">
        <v>62</v>
      </c>
      <c r="C50" s="781" t="s">
        <v>6</v>
      </c>
      <c r="D50" s="782">
        <v>15197.9</v>
      </c>
      <c r="E50" s="782" t="e">
        <f>#REF!*E54</f>
        <v>#REF!</v>
      </c>
      <c r="F50" s="782" t="e">
        <f>#REF!*F54</f>
        <v>#REF!</v>
      </c>
      <c r="G50" s="796">
        <v>43928.47</v>
      </c>
      <c r="H50" s="783">
        <f>H51*H54</f>
        <v>1236.8678400000001</v>
      </c>
      <c r="I50" s="794"/>
      <c r="J50" s="784"/>
      <c r="K50" s="788"/>
    </row>
    <row r="51" spans="1:11" ht="16.5" customHeight="1">
      <c r="A51" s="781" t="s">
        <v>68</v>
      </c>
      <c r="B51" s="795" t="s">
        <v>537</v>
      </c>
      <c r="C51" s="781" t="s">
        <v>575</v>
      </c>
      <c r="D51" s="803">
        <v>72281</v>
      </c>
      <c r="E51" s="803">
        <v>72281</v>
      </c>
      <c r="F51" s="803">
        <v>72281</v>
      </c>
      <c r="G51" s="796">
        <v>80000</v>
      </c>
      <c r="H51" s="783">
        <v>2378.5920000000001</v>
      </c>
      <c r="I51" s="794"/>
      <c r="J51" s="784"/>
      <c r="K51" s="788"/>
    </row>
    <row r="52" spans="1:11" ht="16.5" customHeight="1">
      <c r="A52" s="963" t="s">
        <v>69</v>
      </c>
      <c r="B52" s="965" t="s">
        <v>412</v>
      </c>
      <c r="C52" s="781" t="s">
        <v>575</v>
      </c>
      <c r="D52" s="803">
        <v>17348</v>
      </c>
      <c r="E52" s="803">
        <v>17348</v>
      </c>
      <c r="F52" s="803">
        <v>17348</v>
      </c>
      <c r="G52" s="796">
        <v>25263</v>
      </c>
      <c r="H52" s="783">
        <v>446.339</v>
      </c>
      <c r="I52" s="794"/>
      <c r="J52" s="784"/>
      <c r="K52" s="804"/>
    </row>
    <row r="53" spans="1:11" ht="16.5" customHeight="1">
      <c r="A53" s="964"/>
      <c r="B53" s="966"/>
      <c r="C53" s="781" t="s">
        <v>67</v>
      </c>
      <c r="D53" s="803"/>
      <c r="E53" s="803"/>
      <c r="F53" s="803"/>
      <c r="G53" s="796">
        <v>24</v>
      </c>
      <c r="H53" s="783">
        <v>16</v>
      </c>
      <c r="I53" s="794"/>
      <c r="J53" s="784"/>
      <c r="K53" s="804"/>
    </row>
    <row r="54" spans="1:11" ht="18.75" customHeight="1">
      <c r="A54" s="781" t="s">
        <v>98</v>
      </c>
      <c r="B54" s="795" t="s">
        <v>413</v>
      </c>
      <c r="C54" s="781" t="s">
        <v>576</v>
      </c>
      <c r="D54" s="805">
        <v>0.28000000000000003</v>
      </c>
      <c r="E54" s="805">
        <v>0.25</v>
      </c>
      <c r="F54" s="805">
        <v>0.25</v>
      </c>
      <c r="G54" s="806">
        <v>0.54900000000000004</v>
      </c>
      <c r="H54" s="783">
        <v>0.52</v>
      </c>
      <c r="I54" s="794"/>
      <c r="J54" s="784"/>
      <c r="K54" s="804"/>
    </row>
    <row r="55" spans="1:11" ht="14.25" customHeight="1">
      <c r="A55" s="781"/>
      <c r="B55" s="795" t="s">
        <v>100</v>
      </c>
      <c r="C55" s="781"/>
      <c r="D55" s="805"/>
      <c r="E55" s="805"/>
      <c r="F55" s="805"/>
      <c r="G55" s="807"/>
      <c r="H55" s="783"/>
      <c r="I55" s="794"/>
      <c r="J55" s="784"/>
      <c r="K55" s="804"/>
    </row>
    <row r="56" spans="1:11" ht="31.5" customHeight="1">
      <c r="A56" s="781">
        <v>7</v>
      </c>
      <c r="B56" s="795" t="s">
        <v>414</v>
      </c>
      <c r="C56" s="781" t="s">
        <v>102</v>
      </c>
      <c r="D56" s="805"/>
      <c r="E56" s="805">
        <f>SUM(E57:E58)</f>
        <v>30</v>
      </c>
      <c r="F56" s="805">
        <f>SUM(F57:F58)</f>
        <v>30</v>
      </c>
      <c r="G56" s="808">
        <f>+G57+G58</f>
        <v>44</v>
      </c>
      <c r="H56" s="783">
        <f>SUM(H57:H58)</f>
        <v>18</v>
      </c>
      <c r="I56" s="794"/>
      <c r="J56" s="784"/>
      <c r="K56" s="809"/>
    </row>
    <row r="57" spans="1:11" ht="22.5" customHeight="1">
      <c r="A57" s="797" t="s">
        <v>120</v>
      </c>
      <c r="B57" s="788" t="s">
        <v>415</v>
      </c>
      <c r="C57" s="789" t="s">
        <v>102</v>
      </c>
      <c r="D57" s="790"/>
      <c r="E57" s="790">
        <v>23</v>
      </c>
      <c r="F57" s="790">
        <v>23</v>
      </c>
      <c r="G57" s="807">
        <v>37</v>
      </c>
      <c r="H57" s="793">
        <v>12</v>
      </c>
      <c r="I57" s="794"/>
      <c r="J57" s="784"/>
      <c r="K57" s="809"/>
    </row>
    <row r="58" spans="1:11" ht="19.5" customHeight="1">
      <c r="A58" s="797" t="s">
        <v>121</v>
      </c>
      <c r="B58" s="788" t="s">
        <v>416</v>
      </c>
      <c r="C58" s="789" t="s">
        <v>102</v>
      </c>
      <c r="D58" s="790"/>
      <c r="E58" s="790">
        <v>7</v>
      </c>
      <c r="F58" s="790">
        <v>7</v>
      </c>
      <c r="G58" s="807">
        <v>7</v>
      </c>
      <c r="H58" s="793">
        <v>6</v>
      </c>
      <c r="I58" s="794"/>
      <c r="J58" s="784"/>
      <c r="K58" s="809"/>
    </row>
    <row r="59" spans="1:11" ht="35.25" customHeight="1">
      <c r="A59" s="781">
        <v>8</v>
      </c>
      <c r="B59" s="795" t="s">
        <v>417</v>
      </c>
      <c r="C59" s="781" t="s">
        <v>105</v>
      </c>
      <c r="D59" s="781"/>
      <c r="E59" s="803">
        <f>AVERAGE(E60:E61)</f>
        <v>26271.5</v>
      </c>
      <c r="F59" s="803">
        <f>AVERAGE(F60:F61)</f>
        <v>26271.5</v>
      </c>
      <c r="G59" s="796">
        <v>63667.9</v>
      </c>
      <c r="H59" s="783">
        <f>AVERAGE(H60:H61)</f>
        <v>51308.885416666672</v>
      </c>
      <c r="I59" s="794"/>
      <c r="J59" s="784"/>
      <c r="K59" s="809"/>
    </row>
    <row r="60" spans="1:11" ht="18.75" customHeight="1">
      <c r="A60" s="797" t="s">
        <v>300</v>
      </c>
      <c r="B60" s="788" t="s">
        <v>415</v>
      </c>
      <c r="C60" s="789" t="s">
        <v>105</v>
      </c>
      <c r="D60" s="789"/>
      <c r="E60" s="810">
        <v>18043</v>
      </c>
      <c r="F60" s="810">
        <v>18043</v>
      </c>
      <c r="G60" s="792">
        <v>60577</v>
      </c>
      <c r="H60" s="793">
        <f>H13/4/H57*1000</f>
        <v>43998.520833333336</v>
      </c>
      <c r="I60" s="794"/>
      <c r="J60" s="784"/>
      <c r="K60" s="809"/>
    </row>
    <row r="61" spans="1:11" ht="18.75" customHeight="1">
      <c r="A61" s="797" t="s">
        <v>301</v>
      </c>
      <c r="B61" s="788" t="s">
        <v>416</v>
      </c>
      <c r="C61" s="789" t="s">
        <v>105</v>
      </c>
      <c r="D61" s="789"/>
      <c r="E61" s="810">
        <v>34500</v>
      </c>
      <c r="F61" s="810">
        <v>34500</v>
      </c>
      <c r="G61" s="792">
        <v>80006</v>
      </c>
      <c r="H61" s="793">
        <f>H29/4/H58*1000</f>
        <v>58619.25</v>
      </c>
      <c r="I61" s="794"/>
      <c r="J61" s="784"/>
      <c r="K61" s="809"/>
    </row>
    <row r="62" spans="1:11">
      <c r="K62" s="320"/>
    </row>
    <row r="63" spans="1:11" ht="18.75" customHeight="1">
      <c r="K63" s="320"/>
    </row>
    <row r="64" spans="1:11" s="269" customFormat="1" ht="15.75">
      <c r="A64" s="270"/>
      <c r="B64" s="271" t="s">
        <v>517</v>
      </c>
      <c r="C64" s="270"/>
      <c r="D64" s="270"/>
      <c r="E64" s="271"/>
      <c r="F64" s="271"/>
      <c r="G64" s="318"/>
      <c r="H64" s="414"/>
      <c r="I64" s="319"/>
      <c r="J64" s="340" t="s">
        <v>304</v>
      </c>
      <c r="K64" s="320"/>
    </row>
    <row r="65" spans="1:11" s="269" customFormat="1">
      <c r="A65" s="270"/>
      <c r="B65" s="271"/>
      <c r="C65" s="270"/>
      <c r="D65" s="270"/>
      <c r="E65" s="271"/>
      <c r="F65" s="271"/>
      <c r="G65" s="318"/>
      <c r="H65" s="415"/>
      <c r="I65" s="319"/>
      <c r="J65" s="349"/>
      <c r="K65" s="320"/>
    </row>
    <row r="66" spans="1:11" s="269" customFormat="1" ht="15.75">
      <c r="A66" s="270"/>
      <c r="B66" s="271" t="s">
        <v>71</v>
      </c>
      <c r="C66" s="270"/>
      <c r="D66" s="270"/>
      <c r="E66" s="271"/>
      <c r="F66" s="271"/>
      <c r="G66" s="318"/>
      <c r="H66" s="414"/>
      <c r="I66" s="319"/>
      <c r="J66" s="340" t="s">
        <v>595</v>
      </c>
      <c r="K66" s="320"/>
    </row>
    <row r="67" spans="1:11" s="269" customFormat="1" ht="15.75">
      <c r="A67" s="270"/>
      <c r="B67" s="271"/>
      <c r="C67" s="270"/>
      <c r="D67" s="270"/>
      <c r="E67" s="271"/>
      <c r="F67" s="271"/>
      <c r="G67" s="318"/>
      <c r="H67" s="414"/>
      <c r="I67" s="319"/>
      <c r="J67" s="340"/>
      <c r="K67" s="320"/>
    </row>
    <row r="68" spans="1:11" s="272" customFormat="1" ht="19.5" customHeight="1">
      <c r="A68" s="270"/>
      <c r="B68" s="271" t="s">
        <v>72</v>
      </c>
      <c r="C68" s="270"/>
      <c r="D68" s="270"/>
      <c r="E68" s="271"/>
      <c r="F68" s="271"/>
      <c r="G68" s="318"/>
      <c r="H68" s="414"/>
      <c r="I68" s="319"/>
      <c r="J68" s="340" t="s">
        <v>169</v>
      </c>
      <c r="K68" s="320"/>
    </row>
    <row r="69" spans="1:11">
      <c r="K69" s="320"/>
    </row>
    <row r="70" spans="1:11" ht="15.75">
      <c r="B70" s="855" t="s">
        <v>589</v>
      </c>
      <c r="C70" s="270"/>
      <c r="D70" s="271"/>
      <c r="E70" s="271"/>
      <c r="F70" s="318"/>
      <c r="G70" s="414"/>
      <c r="H70" s="319"/>
      <c r="I70" s="340"/>
      <c r="J70" s="270" t="s">
        <v>590</v>
      </c>
      <c r="K70" s="320"/>
    </row>
    <row r="71" spans="1:11">
      <c r="K71" s="320"/>
    </row>
    <row r="72" spans="1:11">
      <c r="A72" s="3" t="s">
        <v>108</v>
      </c>
      <c r="B72" s="3" t="s">
        <v>505</v>
      </c>
      <c r="K72" s="320"/>
    </row>
    <row r="73" spans="1:11">
      <c r="A73" s="1"/>
      <c r="B73" s="3" t="s">
        <v>109</v>
      </c>
      <c r="K73" s="320"/>
    </row>
    <row r="74" spans="1:11" ht="15.75">
      <c r="B74" s="3" t="s">
        <v>592</v>
      </c>
      <c r="K74" s="313"/>
    </row>
    <row r="75" spans="1:11" ht="15.75">
      <c r="K75" s="313"/>
    </row>
    <row r="76" spans="1:11" ht="15.75">
      <c r="K76" s="313"/>
    </row>
    <row r="77" spans="1:11" ht="15.75">
      <c r="K77" s="313"/>
    </row>
    <row r="78" spans="1:11" ht="15.75">
      <c r="K78" s="313"/>
    </row>
    <row r="79" spans="1:11" ht="15.75">
      <c r="K79" s="313"/>
    </row>
    <row r="80" spans="1:11" ht="15.75">
      <c r="K80" s="313"/>
    </row>
    <row r="81" spans="11:11" ht="15.75">
      <c r="K81" s="313"/>
    </row>
    <row r="82" spans="11:11" ht="15.75" customHeight="1">
      <c r="K82" s="313"/>
    </row>
    <row r="83" spans="11:11" ht="15.75">
      <c r="K83" s="313"/>
    </row>
    <row r="84" spans="11:11" ht="15.75">
      <c r="K84" s="314"/>
    </row>
    <row r="85" spans="11:11" ht="15.75">
      <c r="K85" s="314"/>
    </row>
    <row r="86" spans="11:11" ht="15.75">
      <c r="K86" s="314"/>
    </row>
    <row r="87" spans="11:11">
      <c r="K87" s="315"/>
    </row>
    <row r="88" spans="11:11">
      <c r="K88" s="315"/>
    </row>
  </sheetData>
  <mergeCells count="13">
    <mergeCell ref="K3:K4"/>
    <mergeCell ref="A52:A53"/>
    <mergeCell ref="B52:B53"/>
    <mergeCell ref="A1:K2"/>
    <mergeCell ref="A3:A4"/>
    <mergeCell ref="B3:B4"/>
    <mergeCell ref="C3:C4"/>
    <mergeCell ref="D3:E3"/>
    <mergeCell ref="F3:F4"/>
    <mergeCell ref="H3:H4"/>
    <mergeCell ref="I3:I4"/>
    <mergeCell ref="J3:J4"/>
    <mergeCell ref="G3:G4"/>
  </mergeCells>
  <printOptions horizontalCentered="1"/>
  <pageMargins left="0.70866141732283472" right="0.70866141732283472" top="0.55118110236220474" bottom="0" header="0.19685039370078741" footer="0.31496062992125984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C80"/>
  </sheetPr>
  <dimension ref="A1:P105"/>
  <sheetViews>
    <sheetView view="pageBreakPreview" zoomScale="82" zoomScaleSheetLayoutView="82" workbookViewId="0">
      <pane xSplit="3" ySplit="4" topLeftCell="J82" activePane="bottomRight" state="frozen"/>
      <selection pane="topRight" activeCell="D1" sqref="D1"/>
      <selection pane="bottomLeft" activeCell="A7" sqref="A7"/>
      <selection pane="bottomRight" activeCell="M100" sqref="M100"/>
    </sheetView>
  </sheetViews>
  <sheetFormatPr defaultColWidth="9.140625" defaultRowHeight="12.75"/>
  <cols>
    <col min="1" max="1" width="9" style="6" bestFit="1" customWidth="1"/>
    <col min="2" max="2" width="38.140625" style="6" customWidth="1"/>
    <col min="3" max="3" width="12.140625" style="6" customWidth="1"/>
    <col min="4" max="9" width="14.42578125" style="6" hidden="1" customWidth="1"/>
    <col min="10" max="10" width="1" style="6" hidden="1" customWidth="1"/>
    <col min="11" max="11" width="1.42578125" style="6" hidden="1" customWidth="1"/>
    <col min="12" max="12" width="19.140625" style="6" customWidth="1"/>
    <col min="13" max="13" width="17.5703125" style="370" customWidth="1"/>
    <col min="14" max="14" width="13.7109375" style="1" customWidth="1"/>
    <col min="15" max="15" width="13.42578125" style="1" customWidth="1"/>
    <col min="16" max="16" width="37.28515625" style="1" customWidth="1"/>
    <col min="17" max="16384" width="9.140625" style="1"/>
  </cols>
  <sheetData>
    <row r="1" spans="1:16" ht="60" customHeight="1">
      <c r="A1" s="879" t="s">
        <v>580</v>
      </c>
      <c r="B1" s="879"/>
      <c r="C1" s="879"/>
      <c r="D1" s="879"/>
      <c r="E1" s="879"/>
      <c r="F1" s="879"/>
      <c r="G1" s="879"/>
      <c r="H1" s="879"/>
      <c r="I1" s="879"/>
      <c r="J1" s="879"/>
      <c r="K1" s="879"/>
      <c r="L1" s="879"/>
      <c r="M1" s="879"/>
      <c r="N1" s="879"/>
      <c r="O1" s="879"/>
      <c r="P1" s="879"/>
    </row>
    <row r="2" spans="1:16" ht="15.7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546"/>
      <c r="N2" s="65"/>
      <c r="O2" s="65"/>
      <c r="P2" s="65"/>
    </row>
    <row r="3" spans="1:16" ht="36.75" customHeight="1">
      <c r="A3" s="889" t="s">
        <v>0</v>
      </c>
      <c r="B3" s="889" t="s">
        <v>73</v>
      </c>
      <c r="C3" s="889" t="s">
        <v>74</v>
      </c>
      <c r="D3" s="898" t="s">
        <v>191</v>
      </c>
      <c r="E3" s="898"/>
      <c r="F3" s="899" t="s">
        <v>192</v>
      </c>
      <c r="G3" s="900"/>
      <c r="H3" s="893" t="s">
        <v>193</v>
      </c>
      <c r="I3" s="894"/>
      <c r="J3" s="895" t="s">
        <v>194</v>
      </c>
      <c r="K3" s="895" t="s">
        <v>187</v>
      </c>
      <c r="L3" s="887" t="s">
        <v>507</v>
      </c>
      <c r="M3" s="881" t="s">
        <v>567</v>
      </c>
      <c r="N3" s="883" t="s">
        <v>501</v>
      </c>
      <c r="O3" s="880" t="s">
        <v>502</v>
      </c>
      <c r="P3" s="880" t="s">
        <v>503</v>
      </c>
    </row>
    <row r="4" spans="1:16" ht="37.5" customHeight="1">
      <c r="A4" s="897"/>
      <c r="B4" s="897"/>
      <c r="C4" s="897"/>
      <c r="D4" s="419" t="s">
        <v>195</v>
      </c>
      <c r="E4" s="420" t="s">
        <v>196</v>
      </c>
      <c r="F4" s="419" t="s">
        <v>195</v>
      </c>
      <c r="G4" s="419" t="s">
        <v>196</v>
      </c>
      <c r="H4" s="419" t="s">
        <v>195</v>
      </c>
      <c r="I4" s="419" t="s">
        <v>197</v>
      </c>
      <c r="J4" s="896"/>
      <c r="K4" s="896"/>
      <c r="L4" s="888"/>
      <c r="M4" s="882"/>
      <c r="N4" s="884"/>
      <c r="O4" s="880"/>
      <c r="P4" s="880"/>
    </row>
    <row r="5" spans="1:16" s="3" customFormat="1" ht="46.15" customHeight="1">
      <c r="A5" s="424" t="s">
        <v>59</v>
      </c>
      <c r="B5" s="425" t="s">
        <v>111</v>
      </c>
      <c r="C5" s="424" t="s">
        <v>58</v>
      </c>
      <c r="D5" s="547">
        <f>D6+D11+D15+D16+D18</f>
        <v>12112</v>
      </c>
      <c r="E5" s="547">
        <f t="shared" ref="E5:K5" si="0">E6+E11+E15+E16+E18</f>
        <v>5504.7828799999997</v>
      </c>
      <c r="F5" s="547">
        <f t="shared" si="0"/>
        <v>24997</v>
      </c>
      <c r="G5" s="547">
        <f t="shared" si="0"/>
        <v>123.82536727999999</v>
      </c>
      <c r="H5" s="547">
        <f t="shared" si="0"/>
        <v>29895.21</v>
      </c>
      <c r="I5" s="547">
        <f t="shared" si="0"/>
        <v>8002.5975728000003</v>
      </c>
      <c r="J5" s="547">
        <f t="shared" si="0"/>
        <v>13631.870126100002</v>
      </c>
      <c r="K5" s="547">
        <f t="shared" si="0"/>
        <v>9451.6639999999989</v>
      </c>
      <c r="L5" s="547">
        <f>L6+L11+L15+L16+L18</f>
        <v>36884.079999999994</v>
      </c>
      <c r="M5" s="548">
        <f>M6+M11+M15+M16+M18</f>
        <v>5083.7379999999994</v>
      </c>
      <c r="N5" s="548">
        <f t="shared" ref="N5" si="1">N6+N11+N15+N16+N18</f>
        <v>-30921.341999999997</v>
      </c>
      <c r="O5" s="549">
        <f>M5/L5*100-100</f>
        <v>-86.216985756456438</v>
      </c>
      <c r="P5" s="550"/>
    </row>
    <row r="6" spans="1:16" ht="15" customHeight="1">
      <c r="A6" s="551">
        <v>1</v>
      </c>
      <c r="B6" s="41" t="s">
        <v>112</v>
      </c>
      <c r="C6" s="87" t="s">
        <v>58</v>
      </c>
      <c r="D6" s="42">
        <f>SUM(D7:D10)</f>
        <v>406</v>
      </c>
      <c r="E6" s="42">
        <f t="shared" ref="E6:N6" si="2">SUM(E7:E10)</f>
        <v>184.52294000000001</v>
      </c>
      <c r="F6" s="42">
        <f t="shared" si="2"/>
        <v>4446</v>
      </c>
      <c r="G6" s="42">
        <f t="shared" si="2"/>
        <v>21.248234279999998</v>
      </c>
      <c r="H6" s="42">
        <f t="shared" si="2"/>
        <v>1033.2</v>
      </c>
      <c r="I6" s="42">
        <f t="shared" si="2"/>
        <v>276.56697600000007</v>
      </c>
      <c r="J6" s="42">
        <f t="shared" si="2"/>
        <v>482.33815028000004</v>
      </c>
      <c r="K6" s="42">
        <f t="shared" si="2"/>
        <v>210</v>
      </c>
      <c r="L6" s="42">
        <f>SUM(L7:L10)</f>
        <v>718.12</v>
      </c>
      <c r="M6" s="375">
        <f>SUM(M8:M10)</f>
        <v>57.942000000000007</v>
      </c>
      <c r="N6" s="375">
        <f t="shared" si="2"/>
        <v>-152.99799999999999</v>
      </c>
      <c r="O6" s="549">
        <f t="shared" ref="O6:O68" si="3">M6/L6*100-100</f>
        <v>-91.931432072634095</v>
      </c>
      <c r="P6" s="118"/>
    </row>
    <row r="7" spans="1:16" ht="15.75">
      <c r="A7" s="87" t="s">
        <v>9</v>
      </c>
      <c r="B7" s="41" t="s">
        <v>198</v>
      </c>
      <c r="C7" s="87" t="s">
        <v>58</v>
      </c>
      <c r="D7" s="42">
        <v>156</v>
      </c>
      <c r="E7" s="42">
        <f>D7*45.449%</f>
        <v>70.900440000000003</v>
      </c>
      <c r="F7" s="42">
        <v>722</v>
      </c>
      <c r="G7" s="42">
        <f>F7*0.477918%</f>
        <v>3.4505679599999999</v>
      </c>
      <c r="H7" s="42">
        <v>250</v>
      </c>
      <c r="I7" s="42">
        <f>H7*26.768%</f>
        <v>66.92</v>
      </c>
      <c r="J7" s="42">
        <f>E7+G7+I7</f>
        <v>141.27100796000002</v>
      </c>
      <c r="K7" s="42"/>
      <c r="L7" s="42">
        <v>165.36</v>
      </c>
      <c r="M7" s="552"/>
      <c r="N7" s="553"/>
      <c r="O7" s="549">
        <f t="shared" si="3"/>
        <v>-100</v>
      </c>
      <c r="P7" s="118" t="s">
        <v>579</v>
      </c>
    </row>
    <row r="8" spans="1:16" ht="15.75">
      <c r="A8" s="87" t="s">
        <v>11</v>
      </c>
      <c r="B8" s="41" t="s">
        <v>12</v>
      </c>
      <c r="C8" s="87" t="s">
        <v>58</v>
      </c>
      <c r="D8" s="42">
        <v>0</v>
      </c>
      <c r="E8" s="42">
        <f t="shared" ref="E8:E29" si="4">D8*45.449%</f>
        <v>0</v>
      </c>
      <c r="F8" s="42">
        <v>2375</v>
      </c>
      <c r="G8" s="42">
        <f t="shared" ref="G8:G29" si="5">F8*0.477918%</f>
        <v>11.350552500000001</v>
      </c>
      <c r="H8" s="42">
        <v>301</v>
      </c>
      <c r="I8" s="42">
        <f t="shared" ref="I8:I29" si="6">H8*26.768%</f>
        <v>80.571680000000015</v>
      </c>
      <c r="J8" s="42">
        <f>E8+G8+I8</f>
        <v>91.922232500000021</v>
      </c>
      <c r="K8" s="42"/>
      <c r="L8" s="42">
        <v>261.82</v>
      </c>
      <c r="M8" s="552"/>
      <c r="N8" s="553"/>
      <c r="O8" s="549">
        <f t="shared" si="3"/>
        <v>-100</v>
      </c>
      <c r="P8" s="118" t="s">
        <v>579</v>
      </c>
    </row>
    <row r="9" spans="1:16" ht="15.75">
      <c r="A9" s="87" t="s">
        <v>13</v>
      </c>
      <c r="B9" s="41" t="s">
        <v>199</v>
      </c>
      <c r="C9" s="87"/>
      <c r="D9" s="42"/>
      <c r="E9" s="42">
        <f t="shared" si="4"/>
        <v>0</v>
      </c>
      <c r="F9" s="42">
        <v>1067</v>
      </c>
      <c r="G9" s="42">
        <f t="shared" si="5"/>
        <v>5.0993850600000004</v>
      </c>
      <c r="H9" s="42">
        <v>232.2</v>
      </c>
      <c r="I9" s="42">
        <f t="shared" si="6"/>
        <v>62.155296000000007</v>
      </c>
      <c r="J9" s="42">
        <f>E9+G9+I9</f>
        <v>67.25468106000001</v>
      </c>
      <c r="K9" s="42"/>
      <c r="L9" s="42">
        <v>80</v>
      </c>
      <c r="M9" s="552"/>
      <c r="N9" s="553"/>
      <c r="O9" s="549">
        <f t="shared" si="3"/>
        <v>-100</v>
      </c>
      <c r="P9" s="118" t="s">
        <v>579</v>
      </c>
    </row>
    <row r="10" spans="1:16" ht="31.5">
      <c r="A10" s="86" t="s">
        <v>9</v>
      </c>
      <c r="B10" s="41" t="s">
        <v>151</v>
      </c>
      <c r="C10" s="87" t="s">
        <v>58</v>
      </c>
      <c r="D10" s="42">
        <v>250</v>
      </c>
      <c r="E10" s="42">
        <f t="shared" si="4"/>
        <v>113.6225</v>
      </c>
      <c r="F10" s="42">
        <v>282</v>
      </c>
      <c r="G10" s="42">
        <f t="shared" si="5"/>
        <v>1.3477287600000001</v>
      </c>
      <c r="H10" s="42">
        <v>250</v>
      </c>
      <c r="I10" s="42">
        <f t="shared" si="6"/>
        <v>66.92</v>
      </c>
      <c r="J10" s="42">
        <f>E10+G10+I10</f>
        <v>181.89022876000001</v>
      </c>
      <c r="K10" s="42">
        <v>210</v>
      </c>
      <c r="L10" s="42">
        <v>210.94</v>
      </c>
      <c r="M10" s="552">
        <f>68.462-10.52</f>
        <v>57.942000000000007</v>
      </c>
      <c r="N10" s="554">
        <f>M10-L10</f>
        <v>-152.99799999999999</v>
      </c>
      <c r="O10" s="549">
        <f t="shared" si="3"/>
        <v>-72.53152555228975</v>
      </c>
      <c r="P10" s="118" t="s">
        <v>579</v>
      </c>
    </row>
    <row r="11" spans="1:16" ht="30" customHeight="1">
      <c r="A11" s="85">
        <v>2</v>
      </c>
      <c r="B11" s="425" t="s">
        <v>200</v>
      </c>
      <c r="C11" s="424" t="s">
        <v>58</v>
      </c>
      <c r="D11" s="547">
        <f>SUM(D12:D14)</f>
        <v>10690</v>
      </c>
      <c r="E11" s="547">
        <f t="shared" ref="E11:N11" si="7">SUM(E12:E14)</f>
        <v>4858.4980999999998</v>
      </c>
      <c r="F11" s="547">
        <f t="shared" si="7"/>
        <v>17231</v>
      </c>
      <c r="G11" s="547">
        <f t="shared" si="7"/>
        <v>82.350050580000001</v>
      </c>
      <c r="H11" s="547">
        <f t="shared" si="7"/>
        <v>24871.040000000001</v>
      </c>
      <c r="I11" s="547">
        <f t="shared" si="7"/>
        <v>6657.7185138000004</v>
      </c>
      <c r="J11" s="547">
        <f t="shared" si="7"/>
        <v>11598.566664380001</v>
      </c>
      <c r="K11" s="547">
        <f t="shared" si="7"/>
        <v>7950.8979999999992</v>
      </c>
      <c r="L11" s="547">
        <f>SUM(L12:L14)</f>
        <v>26626.93</v>
      </c>
      <c r="M11" s="548">
        <f t="shared" si="7"/>
        <v>2567.6950000000002</v>
      </c>
      <c r="N11" s="548">
        <f t="shared" si="7"/>
        <v>-24059.235000000001</v>
      </c>
      <c r="O11" s="549">
        <f t="shared" si="3"/>
        <v>-90.356774138062477</v>
      </c>
      <c r="P11" s="118"/>
    </row>
    <row r="12" spans="1:16" ht="15.75">
      <c r="A12" s="87" t="s">
        <v>19</v>
      </c>
      <c r="B12" s="41" t="s">
        <v>162</v>
      </c>
      <c r="C12" s="87" t="s">
        <v>58</v>
      </c>
      <c r="D12" s="42">
        <v>9739</v>
      </c>
      <c r="E12" s="42">
        <f t="shared" si="4"/>
        <v>4426.2781100000002</v>
      </c>
      <c r="F12" s="42">
        <v>15679</v>
      </c>
      <c r="G12" s="42">
        <f t="shared" si="5"/>
        <v>74.932763219999998</v>
      </c>
      <c r="H12" s="42">
        <v>22630.61</v>
      </c>
      <c r="I12" s="42">
        <f>H12*26.769%</f>
        <v>6057.9879909000001</v>
      </c>
      <c r="J12" s="42">
        <f>E12+G12+I12</f>
        <v>10559.198864120001</v>
      </c>
      <c r="K12" s="42">
        <v>7234.9869999999992</v>
      </c>
      <c r="L12" s="42">
        <v>23988.23</v>
      </c>
      <c r="M12" s="552">
        <v>2332.7109999999998</v>
      </c>
      <c r="N12" s="554">
        <f>M12-L12</f>
        <v>-21655.519</v>
      </c>
      <c r="O12" s="549">
        <f t="shared" si="3"/>
        <v>-90.2756018263957</v>
      </c>
      <c r="P12" s="118" t="s">
        <v>579</v>
      </c>
    </row>
    <row r="13" spans="1:16" ht="15.75">
      <c r="A13" s="87" t="s">
        <v>21</v>
      </c>
      <c r="B13" s="41" t="s">
        <v>163</v>
      </c>
      <c r="C13" s="87" t="s">
        <v>58</v>
      </c>
      <c r="D13" s="42">
        <v>547</v>
      </c>
      <c r="E13" s="42">
        <f t="shared" si="4"/>
        <v>248.60603</v>
      </c>
      <c r="F13" s="42">
        <v>988</v>
      </c>
      <c r="G13" s="42">
        <f t="shared" si="5"/>
        <v>4.7218298399999998</v>
      </c>
      <c r="H13" s="42">
        <v>1222.05</v>
      </c>
      <c r="I13" s="42">
        <f>H13*26.769%</f>
        <v>327.13056449999999</v>
      </c>
      <c r="J13" s="42">
        <f>E13+G13+I13</f>
        <v>580.45842433999997</v>
      </c>
      <c r="K13" s="42">
        <v>394.70399999999995</v>
      </c>
      <c r="L13" s="42">
        <v>1439.29</v>
      </c>
      <c r="M13" s="552">
        <v>128.173</v>
      </c>
      <c r="N13" s="554">
        <f t="shared" ref="N13:N15" si="8">M13-L13</f>
        <v>-1311.117</v>
      </c>
      <c r="O13" s="549">
        <f t="shared" si="3"/>
        <v>-91.094706417747645</v>
      </c>
      <c r="P13" s="118" t="s">
        <v>579</v>
      </c>
    </row>
    <row r="14" spans="1:16" ht="15.75">
      <c r="A14" s="87" t="s">
        <v>23</v>
      </c>
      <c r="B14" s="92" t="s">
        <v>201</v>
      </c>
      <c r="C14" s="87" t="s">
        <v>58</v>
      </c>
      <c r="D14" s="42">
        <v>404</v>
      </c>
      <c r="E14" s="42">
        <f t="shared" si="4"/>
        <v>183.61395999999999</v>
      </c>
      <c r="F14" s="42">
        <v>564</v>
      </c>
      <c r="G14" s="42">
        <f t="shared" si="5"/>
        <v>2.6954575200000002</v>
      </c>
      <c r="H14" s="42">
        <v>1018.38</v>
      </c>
      <c r="I14" s="42">
        <f t="shared" si="6"/>
        <v>272.59995840000005</v>
      </c>
      <c r="J14" s="42">
        <f>E14+G14+I14</f>
        <v>458.90937592</v>
      </c>
      <c r="K14" s="42">
        <v>321.20699999999999</v>
      </c>
      <c r="L14" s="42">
        <v>1199.4100000000001</v>
      </c>
      <c r="M14" s="552">
        <v>106.81100000000001</v>
      </c>
      <c r="N14" s="554">
        <f t="shared" si="8"/>
        <v>-1092.5990000000002</v>
      </c>
      <c r="O14" s="549">
        <f t="shared" si="3"/>
        <v>-91.094704896574143</v>
      </c>
      <c r="P14" s="118" t="s">
        <v>579</v>
      </c>
    </row>
    <row r="15" spans="1:16" s="3" customFormat="1" ht="15.75">
      <c r="A15" s="95" t="s">
        <v>202</v>
      </c>
      <c r="B15" s="425" t="s">
        <v>80</v>
      </c>
      <c r="C15" s="424" t="s">
        <v>58</v>
      </c>
      <c r="D15" s="547">
        <v>492</v>
      </c>
      <c r="E15" s="547">
        <f>D15*45.449%</f>
        <v>223.60908000000001</v>
      </c>
      <c r="F15" s="547">
        <v>1201</v>
      </c>
      <c r="G15" s="547">
        <v>10.1</v>
      </c>
      <c r="H15" s="547">
        <v>1253.6199999999999</v>
      </c>
      <c r="I15" s="547">
        <f>H15*26.768%</f>
        <v>335.56900160000004</v>
      </c>
      <c r="J15" s="547">
        <f>E15+G15+I15</f>
        <v>569.27808160000006</v>
      </c>
      <c r="K15" s="547">
        <v>285.22899999999998</v>
      </c>
      <c r="L15" s="547">
        <v>7106.61</v>
      </c>
      <c r="M15" s="555">
        <v>2368.87</v>
      </c>
      <c r="N15" s="554">
        <f t="shared" si="8"/>
        <v>-4737.74</v>
      </c>
      <c r="O15" s="549">
        <f t="shared" si="3"/>
        <v>-66.666666666666671</v>
      </c>
      <c r="P15" s="118" t="s">
        <v>579</v>
      </c>
    </row>
    <row r="16" spans="1:16" s="3" customFormat="1" ht="15.75">
      <c r="A16" s="95" t="s">
        <v>203</v>
      </c>
      <c r="B16" s="425" t="s">
        <v>150</v>
      </c>
      <c r="C16" s="424" t="s">
        <v>58</v>
      </c>
      <c r="D16" s="547">
        <f>D17</f>
        <v>0</v>
      </c>
      <c r="E16" s="547">
        <f t="shared" ref="E16:N16" si="9">E17</f>
        <v>0</v>
      </c>
      <c r="F16" s="547">
        <f t="shared" si="9"/>
        <v>1365</v>
      </c>
      <c r="G16" s="547">
        <f t="shared" si="9"/>
        <v>6.5235807000000001</v>
      </c>
      <c r="H16" s="547">
        <f t="shared" si="9"/>
        <v>923.34</v>
      </c>
      <c r="I16" s="547">
        <f t="shared" si="9"/>
        <v>247.16888459999998</v>
      </c>
      <c r="J16" s="547">
        <f t="shared" si="9"/>
        <v>253.69246529999998</v>
      </c>
      <c r="K16" s="547">
        <f t="shared" si="9"/>
        <v>92.152000000000001</v>
      </c>
      <c r="L16" s="547">
        <f>L17</f>
        <v>1074.43</v>
      </c>
      <c r="M16" s="548">
        <f t="shared" si="9"/>
        <v>0</v>
      </c>
      <c r="N16" s="548">
        <f t="shared" si="9"/>
        <v>-1074.43</v>
      </c>
      <c r="O16" s="549">
        <f t="shared" si="3"/>
        <v>-100</v>
      </c>
      <c r="P16" s="550"/>
    </row>
    <row r="17" spans="1:16" ht="15.75" customHeight="1">
      <c r="A17" s="86" t="s">
        <v>26</v>
      </c>
      <c r="B17" s="41" t="s">
        <v>204</v>
      </c>
      <c r="C17" s="87" t="s">
        <v>58</v>
      </c>
      <c r="D17" s="42"/>
      <c r="E17" s="42">
        <f>D17*45.449%</f>
        <v>0</v>
      </c>
      <c r="F17" s="42">
        <v>1365</v>
      </c>
      <c r="G17" s="42">
        <f>F17*0.477918%</f>
        <v>6.5235807000000001</v>
      </c>
      <c r="H17" s="42">
        <v>923.34</v>
      </c>
      <c r="I17" s="42">
        <f>H17*26.769%</f>
        <v>247.16888459999998</v>
      </c>
      <c r="J17" s="42">
        <f>E17+G17+I17</f>
        <v>253.69246529999998</v>
      </c>
      <c r="K17" s="42">
        <v>92.152000000000001</v>
      </c>
      <c r="L17" s="42">
        <v>1074.43</v>
      </c>
      <c r="M17" s="552"/>
      <c r="N17" s="554">
        <f>M17-L17</f>
        <v>-1074.43</v>
      </c>
      <c r="O17" s="549">
        <f t="shared" si="3"/>
        <v>-100</v>
      </c>
      <c r="P17" s="556" t="s">
        <v>579</v>
      </c>
    </row>
    <row r="18" spans="1:16" ht="15.75">
      <c r="A18" s="85">
        <v>5</v>
      </c>
      <c r="B18" s="425" t="s">
        <v>129</v>
      </c>
      <c r="C18" s="424" t="s">
        <v>58</v>
      </c>
      <c r="D18" s="547">
        <f>SUM(D19:D26)</f>
        <v>524</v>
      </c>
      <c r="E18" s="547">
        <f t="shared" ref="E18:K18" si="10">SUM(E19:E26)</f>
        <v>238.15276</v>
      </c>
      <c r="F18" s="547">
        <f t="shared" si="10"/>
        <v>754</v>
      </c>
      <c r="G18" s="547">
        <f t="shared" si="10"/>
        <v>3.6035017200000001</v>
      </c>
      <c r="H18" s="547">
        <f t="shared" si="10"/>
        <v>1814.0100000000002</v>
      </c>
      <c r="I18" s="547">
        <f t="shared" si="10"/>
        <v>485.57419680000004</v>
      </c>
      <c r="J18" s="547">
        <f t="shared" si="10"/>
        <v>727.99476454000012</v>
      </c>
      <c r="K18" s="547">
        <f t="shared" si="10"/>
        <v>913.38499999999999</v>
      </c>
      <c r="L18" s="547">
        <f>SUM(L19:L26)</f>
        <v>1357.99</v>
      </c>
      <c r="M18" s="548">
        <f>SUM(M19:M26)</f>
        <v>89.230999999999995</v>
      </c>
      <c r="N18" s="548">
        <f t="shared" ref="N18" si="11">SUM(N19:N26)</f>
        <v>-896.93900000000008</v>
      </c>
      <c r="O18" s="549">
        <f t="shared" si="3"/>
        <v>-93.4291857819277</v>
      </c>
      <c r="P18" s="118"/>
    </row>
    <row r="19" spans="1:16" ht="18" customHeight="1">
      <c r="A19" s="86" t="s">
        <v>29</v>
      </c>
      <c r="B19" s="41" t="s">
        <v>205</v>
      </c>
      <c r="C19" s="87" t="s">
        <v>58</v>
      </c>
      <c r="D19" s="42"/>
      <c r="E19" s="42">
        <f t="shared" si="4"/>
        <v>0</v>
      </c>
      <c r="F19" s="42">
        <v>377</v>
      </c>
      <c r="G19" s="42">
        <f t="shared" si="5"/>
        <v>1.8017508600000001</v>
      </c>
      <c r="H19" s="42"/>
      <c r="I19" s="42">
        <f t="shared" si="6"/>
        <v>0</v>
      </c>
      <c r="J19" s="42">
        <f t="shared" ref="J19:J25" si="12">E19+G19+I19</f>
        <v>1.8017508600000001</v>
      </c>
      <c r="K19" s="42">
        <v>0</v>
      </c>
      <c r="L19" s="42">
        <v>371.82</v>
      </c>
      <c r="M19" s="375"/>
      <c r="N19" s="553"/>
      <c r="O19" s="549">
        <f t="shared" si="3"/>
        <v>-100</v>
      </c>
      <c r="P19" s="118" t="s">
        <v>579</v>
      </c>
    </row>
    <row r="20" spans="1:16" ht="31.5" hidden="1">
      <c r="A20" s="86" t="s">
        <v>31</v>
      </c>
      <c r="B20" s="41" t="s">
        <v>206</v>
      </c>
      <c r="C20" s="87"/>
      <c r="D20" s="42"/>
      <c r="E20" s="42">
        <f t="shared" si="4"/>
        <v>0</v>
      </c>
      <c r="F20" s="42">
        <v>70</v>
      </c>
      <c r="G20" s="42">
        <f t="shared" si="5"/>
        <v>0.33454260000000002</v>
      </c>
      <c r="H20" s="42"/>
      <c r="I20" s="42">
        <f t="shared" si="6"/>
        <v>0</v>
      </c>
      <c r="J20" s="42">
        <f t="shared" si="12"/>
        <v>0.33454260000000002</v>
      </c>
      <c r="K20" s="42">
        <v>0</v>
      </c>
      <c r="L20" s="42"/>
      <c r="M20" s="375"/>
      <c r="N20" s="553"/>
      <c r="O20" s="549" t="e">
        <f t="shared" si="3"/>
        <v>#DIV/0!</v>
      </c>
      <c r="P20" s="118" t="s">
        <v>579</v>
      </c>
    </row>
    <row r="21" spans="1:16" ht="15.75" hidden="1">
      <c r="A21" s="86" t="s">
        <v>33</v>
      </c>
      <c r="B21" s="41" t="s">
        <v>207</v>
      </c>
      <c r="C21" s="87" t="s">
        <v>58</v>
      </c>
      <c r="D21" s="42"/>
      <c r="E21" s="42">
        <f t="shared" si="4"/>
        <v>0</v>
      </c>
      <c r="F21" s="42">
        <v>23</v>
      </c>
      <c r="G21" s="42">
        <f t="shared" si="5"/>
        <v>0.10992114</v>
      </c>
      <c r="H21" s="42"/>
      <c r="I21" s="42">
        <f t="shared" si="6"/>
        <v>0</v>
      </c>
      <c r="J21" s="42">
        <f t="shared" si="12"/>
        <v>0.10992114</v>
      </c>
      <c r="K21" s="42">
        <v>0</v>
      </c>
      <c r="L21" s="42"/>
      <c r="M21" s="375"/>
      <c r="N21" s="553"/>
      <c r="O21" s="549" t="e">
        <f t="shared" si="3"/>
        <v>#DIV/0!</v>
      </c>
      <c r="P21" s="118" t="s">
        <v>579</v>
      </c>
    </row>
    <row r="22" spans="1:16" ht="15.75">
      <c r="A22" s="86" t="s">
        <v>31</v>
      </c>
      <c r="B22" s="41" t="s">
        <v>132</v>
      </c>
      <c r="C22" s="87" t="s">
        <v>58</v>
      </c>
      <c r="D22" s="42">
        <v>0</v>
      </c>
      <c r="E22" s="42">
        <f t="shared" si="4"/>
        <v>0</v>
      </c>
      <c r="F22" s="42">
        <v>193</v>
      </c>
      <c r="G22" s="42">
        <f t="shared" si="5"/>
        <v>0.92238174000000006</v>
      </c>
      <c r="H22" s="42">
        <v>606.85</v>
      </c>
      <c r="I22" s="42">
        <f t="shared" si="6"/>
        <v>162.44160800000003</v>
      </c>
      <c r="J22" s="42">
        <f t="shared" si="12"/>
        <v>163.36398974000002</v>
      </c>
      <c r="K22" s="42">
        <v>246.78</v>
      </c>
      <c r="L22" s="42">
        <v>112.17</v>
      </c>
      <c r="M22" s="552"/>
      <c r="N22" s="554">
        <f>M22-L22</f>
        <v>-112.17</v>
      </c>
      <c r="O22" s="549">
        <f t="shared" si="3"/>
        <v>-100</v>
      </c>
      <c r="P22" s="118" t="s">
        <v>579</v>
      </c>
    </row>
    <row r="23" spans="1:16" ht="15.75">
      <c r="A23" s="86" t="s">
        <v>33</v>
      </c>
      <c r="B23" s="41" t="s">
        <v>208</v>
      </c>
      <c r="C23" s="87" t="s">
        <v>58</v>
      </c>
      <c r="D23" s="42">
        <v>280</v>
      </c>
      <c r="E23" s="42">
        <f t="shared" si="4"/>
        <v>127.2572</v>
      </c>
      <c r="F23" s="42"/>
      <c r="G23" s="42">
        <f t="shared" si="5"/>
        <v>0</v>
      </c>
      <c r="H23" s="42">
        <v>258.58</v>
      </c>
      <c r="I23" s="42">
        <f t="shared" si="6"/>
        <v>69.216694400000009</v>
      </c>
      <c r="J23" s="42">
        <f t="shared" si="12"/>
        <v>196.47389440000001</v>
      </c>
      <c r="K23" s="42">
        <v>258.58</v>
      </c>
      <c r="L23" s="42">
        <v>257</v>
      </c>
      <c r="M23" s="552">
        <f>9.061+16.8+2.322+53.214+7.834</f>
        <v>89.230999999999995</v>
      </c>
      <c r="N23" s="554">
        <f t="shared" ref="N23:N29" si="13">M23-L23</f>
        <v>-167.76900000000001</v>
      </c>
      <c r="O23" s="549">
        <f t="shared" si="3"/>
        <v>-65.279766536964985</v>
      </c>
      <c r="P23" s="118" t="s">
        <v>579</v>
      </c>
    </row>
    <row r="24" spans="1:16" ht="31.5">
      <c r="A24" s="86" t="s">
        <v>35</v>
      </c>
      <c r="B24" s="41" t="s">
        <v>209</v>
      </c>
      <c r="C24" s="87" t="s">
        <v>58</v>
      </c>
      <c r="D24" s="42"/>
      <c r="E24" s="42">
        <f t="shared" si="4"/>
        <v>0</v>
      </c>
      <c r="F24" s="42">
        <v>91</v>
      </c>
      <c r="G24" s="42">
        <f t="shared" si="5"/>
        <v>0.43490538000000001</v>
      </c>
      <c r="H24" s="42">
        <v>762.58</v>
      </c>
      <c r="I24" s="42">
        <f t="shared" si="6"/>
        <v>204.12741440000002</v>
      </c>
      <c r="J24" s="42">
        <f t="shared" si="12"/>
        <v>204.56231978000002</v>
      </c>
      <c r="K24" s="42">
        <v>0</v>
      </c>
      <c r="L24" s="42">
        <v>431</v>
      </c>
      <c r="M24" s="552"/>
      <c r="N24" s="554">
        <f t="shared" si="13"/>
        <v>-431</v>
      </c>
      <c r="O24" s="549">
        <f t="shared" si="3"/>
        <v>-100</v>
      </c>
      <c r="P24" s="118" t="s">
        <v>579</v>
      </c>
    </row>
    <row r="25" spans="1:16" ht="15.75" hidden="1">
      <c r="A25" s="86" t="s">
        <v>36</v>
      </c>
      <c r="B25" s="41" t="s">
        <v>210</v>
      </c>
      <c r="C25" s="87" t="s">
        <v>58</v>
      </c>
      <c r="D25" s="42">
        <v>47</v>
      </c>
      <c r="E25" s="42">
        <f t="shared" si="4"/>
        <v>21.36103</v>
      </c>
      <c r="F25" s="42"/>
      <c r="G25" s="42">
        <f t="shared" si="5"/>
        <v>0</v>
      </c>
      <c r="H25" s="42"/>
      <c r="I25" s="42">
        <f t="shared" si="6"/>
        <v>0</v>
      </c>
      <c r="J25" s="42">
        <f t="shared" si="12"/>
        <v>21.36103</v>
      </c>
      <c r="K25" s="42">
        <v>0</v>
      </c>
      <c r="L25" s="42"/>
      <c r="M25" s="552"/>
      <c r="N25" s="554">
        <f t="shared" si="13"/>
        <v>0</v>
      </c>
      <c r="O25" s="549" t="e">
        <f t="shared" si="3"/>
        <v>#DIV/0!</v>
      </c>
      <c r="P25" s="118" t="s">
        <v>579</v>
      </c>
    </row>
    <row r="26" spans="1:16" ht="15.75">
      <c r="A26" s="86" t="s">
        <v>36</v>
      </c>
      <c r="B26" s="41" t="s">
        <v>147</v>
      </c>
      <c r="C26" s="87" t="s">
        <v>58</v>
      </c>
      <c r="D26" s="42">
        <f>SUM(D27:D29)</f>
        <v>197</v>
      </c>
      <c r="E26" s="42">
        <f t="shared" si="4"/>
        <v>89.534530000000004</v>
      </c>
      <c r="F26" s="42"/>
      <c r="G26" s="42">
        <f t="shared" si="5"/>
        <v>0</v>
      </c>
      <c r="H26" s="42">
        <f t="shared" ref="H26:K26" si="14">SUM(H27:H29)</f>
        <v>186</v>
      </c>
      <c r="I26" s="42">
        <f t="shared" si="14"/>
        <v>49.788480000000007</v>
      </c>
      <c r="J26" s="42">
        <f t="shared" si="14"/>
        <v>139.98731602000001</v>
      </c>
      <c r="K26" s="42">
        <f t="shared" si="14"/>
        <v>408.02499999999998</v>
      </c>
      <c r="L26" s="42">
        <v>186</v>
      </c>
      <c r="M26" s="375"/>
      <c r="N26" s="554">
        <f t="shared" si="13"/>
        <v>-186</v>
      </c>
      <c r="O26" s="549">
        <f t="shared" si="3"/>
        <v>-100</v>
      </c>
      <c r="P26" s="118" t="s">
        <v>579</v>
      </c>
    </row>
    <row r="27" spans="1:16" ht="12.75" hidden="1" customHeight="1">
      <c r="A27" s="86" t="s">
        <v>211</v>
      </c>
      <c r="B27" s="41" t="s">
        <v>212</v>
      </c>
      <c r="C27" s="87" t="s">
        <v>58</v>
      </c>
      <c r="D27" s="42">
        <v>197</v>
      </c>
      <c r="E27" s="42">
        <f t="shared" si="4"/>
        <v>89.534530000000004</v>
      </c>
      <c r="F27" s="42">
        <v>139</v>
      </c>
      <c r="G27" s="42">
        <f t="shared" si="5"/>
        <v>0.66430602000000005</v>
      </c>
      <c r="H27" s="42">
        <v>186</v>
      </c>
      <c r="I27" s="42">
        <f t="shared" si="6"/>
        <v>49.788480000000007</v>
      </c>
      <c r="J27" s="42">
        <f>E27+G27+I27</f>
        <v>139.98731602000001</v>
      </c>
      <c r="K27" s="42">
        <v>186</v>
      </c>
      <c r="L27" s="42"/>
      <c r="M27" s="552"/>
      <c r="N27" s="554">
        <f t="shared" si="13"/>
        <v>0</v>
      </c>
      <c r="O27" s="549" t="e">
        <f t="shared" si="3"/>
        <v>#DIV/0!</v>
      </c>
      <c r="P27" s="118" t="s">
        <v>573</v>
      </c>
    </row>
    <row r="28" spans="1:16" ht="27" hidden="1" customHeight="1">
      <c r="A28" s="86" t="s">
        <v>213</v>
      </c>
      <c r="B28" s="41" t="s">
        <v>145</v>
      </c>
      <c r="C28" s="87" t="s">
        <v>58</v>
      </c>
      <c r="D28" s="42"/>
      <c r="E28" s="42">
        <f t="shared" si="4"/>
        <v>0</v>
      </c>
      <c r="F28" s="42"/>
      <c r="G28" s="42">
        <f t="shared" si="5"/>
        <v>0</v>
      </c>
      <c r="H28" s="42"/>
      <c r="I28" s="42">
        <f t="shared" si="6"/>
        <v>0</v>
      </c>
      <c r="J28" s="42">
        <f>E28+G28+I28</f>
        <v>0</v>
      </c>
      <c r="K28" s="42">
        <v>12.025</v>
      </c>
      <c r="L28" s="42"/>
      <c r="M28" s="552"/>
      <c r="N28" s="554">
        <f t="shared" si="13"/>
        <v>0</v>
      </c>
      <c r="O28" s="549" t="e">
        <f t="shared" si="3"/>
        <v>#DIV/0!</v>
      </c>
      <c r="P28" s="118"/>
    </row>
    <row r="29" spans="1:16" ht="12.75" hidden="1" customHeight="1">
      <c r="A29" s="86" t="s">
        <v>214</v>
      </c>
      <c r="B29" s="41" t="s">
        <v>215</v>
      </c>
      <c r="C29" s="87" t="s">
        <v>58</v>
      </c>
      <c r="D29" s="42"/>
      <c r="E29" s="42">
        <f t="shared" si="4"/>
        <v>0</v>
      </c>
      <c r="F29" s="42"/>
      <c r="G29" s="42">
        <f t="shared" si="5"/>
        <v>0</v>
      </c>
      <c r="H29" s="42"/>
      <c r="I29" s="42">
        <f t="shared" si="6"/>
        <v>0</v>
      </c>
      <c r="J29" s="42">
        <f>E29+G29+I29</f>
        <v>0</v>
      </c>
      <c r="K29" s="42">
        <v>210</v>
      </c>
      <c r="L29" s="42"/>
      <c r="M29" s="552"/>
      <c r="N29" s="554">
        <f t="shared" si="13"/>
        <v>0</v>
      </c>
      <c r="O29" s="549" t="e">
        <f t="shared" si="3"/>
        <v>#DIV/0!</v>
      </c>
      <c r="P29" s="118"/>
    </row>
    <row r="30" spans="1:16" ht="15" customHeight="1">
      <c r="A30" s="424" t="s">
        <v>82</v>
      </c>
      <c r="B30" s="425" t="s">
        <v>83</v>
      </c>
      <c r="C30" s="424" t="s">
        <v>58</v>
      </c>
      <c r="D30" s="547">
        <f>D31</f>
        <v>8488</v>
      </c>
      <c r="E30" s="547">
        <f t="shared" ref="E30:K30" si="15">E31</f>
        <v>3857.76316</v>
      </c>
      <c r="F30" s="547">
        <f t="shared" si="15"/>
        <v>10374</v>
      </c>
      <c r="G30" s="547">
        <f t="shared" si="15"/>
        <v>49.579213320000001</v>
      </c>
      <c r="H30" s="547">
        <f t="shared" si="15"/>
        <v>10903.300000000001</v>
      </c>
      <c r="I30" s="547">
        <f t="shared" si="15"/>
        <v>2918.6143180000008</v>
      </c>
      <c r="J30" s="547">
        <f t="shared" si="15"/>
        <v>6825.9566913200006</v>
      </c>
      <c r="K30" s="547">
        <f t="shared" si="15"/>
        <v>10160.356</v>
      </c>
      <c r="L30" s="547">
        <f>L31</f>
        <v>14934.16</v>
      </c>
      <c r="M30" s="548">
        <f>M31</f>
        <v>2637.89</v>
      </c>
      <c r="N30" s="548">
        <f t="shared" ref="N30" si="16">N31</f>
        <v>-12122.76</v>
      </c>
      <c r="O30" s="549">
        <f t="shared" si="3"/>
        <v>-82.336535834623447</v>
      </c>
      <c r="P30" s="118"/>
    </row>
    <row r="31" spans="1:16" ht="34.5" customHeight="1">
      <c r="A31" s="85"/>
      <c r="B31" s="425" t="s">
        <v>84</v>
      </c>
      <c r="C31" s="424" t="s">
        <v>58</v>
      </c>
      <c r="D31" s="547">
        <f>D32+D37</f>
        <v>8488</v>
      </c>
      <c r="E31" s="547">
        <f t="shared" ref="E31:K31" si="17">E32+E37</f>
        <v>3857.76316</v>
      </c>
      <c r="F31" s="547">
        <f t="shared" si="17"/>
        <v>10374</v>
      </c>
      <c r="G31" s="547">
        <f t="shared" si="17"/>
        <v>49.579213320000001</v>
      </c>
      <c r="H31" s="547">
        <f t="shared" si="17"/>
        <v>10903.300000000001</v>
      </c>
      <c r="I31" s="547">
        <f t="shared" si="17"/>
        <v>2918.6143180000008</v>
      </c>
      <c r="J31" s="547">
        <f t="shared" si="17"/>
        <v>6825.9566913200006</v>
      </c>
      <c r="K31" s="547">
        <f t="shared" si="17"/>
        <v>10160.356</v>
      </c>
      <c r="L31" s="547">
        <f>L32+L37</f>
        <v>14934.16</v>
      </c>
      <c r="M31" s="548">
        <f t="shared" ref="M31:N31" si="18">M32+M37+M64</f>
        <v>2637.89</v>
      </c>
      <c r="N31" s="548">
        <f t="shared" si="18"/>
        <v>-12122.76</v>
      </c>
      <c r="O31" s="549">
        <f t="shared" si="3"/>
        <v>-82.336535834623447</v>
      </c>
      <c r="P31" s="118"/>
    </row>
    <row r="32" spans="1:16" ht="15" customHeight="1">
      <c r="A32" s="85">
        <v>6</v>
      </c>
      <c r="B32" s="425" t="s">
        <v>216</v>
      </c>
      <c r="C32" s="424" t="s">
        <v>58</v>
      </c>
      <c r="D32" s="547">
        <f>SUM(D33:D35)</f>
        <v>6823</v>
      </c>
      <c r="E32" s="547">
        <f t="shared" ref="E32:K32" si="19">SUM(E33:E35)</f>
        <v>3100.9852700000001</v>
      </c>
      <c r="F32" s="547">
        <f t="shared" si="19"/>
        <v>5146</v>
      </c>
      <c r="G32" s="547">
        <f t="shared" si="19"/>
        <v>24.593660280000002</v>
      </c>
      <c r="H32" s="547">
        <f t="shared" si="19"/>
        <v>8440.9500000000007</v>
      </c>
      <c r="I32" s="547">
        <f t="shared" si="19"/>
        <v>2259.4734960000005</v>
      </c>
      <c r="J32" s="547">
        <f t="shared" si="19"/>
        <v>5385.0524262800009</v>
      </c>
      <c r="K32" s="547">
        <f t="shared" si="19"/>
        <v>8540.0499999999993</v>
      </c>
      <c r="L32" s="547">
        <f>SUM(L33:L36)</f>
        <v>12599.4</v>
      </c>
      <c r="M32" s="548">
        <f t="shared" ref="M32:N32" si="20">SUM(M33:M36)</f>
        <v>2612.3009999999999</v>
      </c>
      <c r="N32" s="547">
        <f t="shared" si="20"/>
        <v>-9813.5889999999999</v>
      </c>
      <c r="O32" s="549">
        <f t="shared" si="3"/>
        <v>-79.266465069765232</v>
      </c>
      <c r="P32" s="118"/>
    </row>
    <row r="33" spans="1:16" ht="31.5">
      <c r="A33" s="86" t="s">
        <v>44</v>
      </c>
      <c r="B33" s="41" t="s">
        <v>217</v>
      </c>
      <c r="C33" s="87" t="s">
        <v>58</v>
      </c>
      <c r="D33" s="42">
        <v>6198</v>
      </c>
      <c r="E33" s="42">
        <f>D33*45.449%</f>
        <v>2816.92902</v>
      </c>
      <c r="F33" s="42">
        <v>4682</v>
      </c>
      <c r="G33" s="42">
        <f>F33*0.477918%</f>
        <v>22.376120759999999</v>
      </c>
      <c r="H33" s="42">
        <v>7680.58</v>
      </c>
      <c r="I33" s="42">
        <f>H33*26.768%</f>
        <v>2055.9376544000002</v>
      </c>
      <c r="J33" s="42">
        <f>E33+G33+I33</f>
        <v>4895.2427951600002</v>
      </c>
      <c r="K33" s="42">
        <v>7770.75</v>
      </c>
      <c r="L33" s="365">
        <v>11194.51</v>
      </c>
      <c r="M33" s="552">
        <v>2374.3130000000001</v>
      </c>
      <c r="N33" s="554">
        <f>M33-L33</f>
        <v>-8820.1970000000001</v>
      </c>
      <c r="O33" s="549">
        <f t="shared" si="3"/>
        <v>-78.790380284621662</v>
      </c>
      <c r="P33" s="118" t="s">
        <v>579</v>
      </c>
    </row>
    <row r="34" spans="1:16" ht="18.75" customHeight="1">
      <c r="A34" s="86" t="s">
        <v>47</v>
      </c>
      <c r="B34" s="41" t="s">
        <v>163</v>
      </c>
      <c r="C34" s="87" t="s">
        <v>58</v>
      </c>
      <c r="D34" s="42">
        <v>381</v>
      </c>
      <c r="E34" s="42">
        <f>D34*45.449%</f>
        <v>173.16068999999999</v>
      </c>
      <c r="F34" s="42">
        <v>295</v>
      </c>
      <c r="G34" s="42">
        <f>F34*0.477918%</f>
        <v>1.4098581000000001</v>
      </c>
      <c r="H34" s="42">
        <v>414.75</v>
      </c>
      <c r="I34" s="42">
        <f>H34*26.768%</f>
        <v>111.02028000000001</v>
      </c>
      <c r="J34" s="42">
        <f>E34+G34+I34</f>
        <v>285.59082810000001</v>
      </c>
      <c r="K34" s="42">
        <f>ROUND((K33-(K33*0.1))*0.06,2)</f>
        <v>419.62</v>
      </c>
      <c r="L34" s="365">
        <v>671.66</v>
      </c>
      <c r="M34" s="552">
        <v>129.81200000000001</v>
      </c>
      <c r="N34" s="554">
        <f t="shared" ref="N34:N35" si="21">M34-L34</f>
        <v>-541.84799999999996</v>
      </c>
      <c r="O34" s="549">
        <f t="shared" si="3"/>
        <v>-80.672959533097099</v>
      </c>
      <c r="P34" s="118" t="s">
        <v>579</v>
      </c>
    </row>
    <row r="35" spans="1:16" ht="16.5" customHeight="1">
      <c r="A35" s="86" t="s">
        <v>48</v>
      </c>
      <c r="B35" s="41" t="s">
        <v>128</v>
      </c>
      <c r="C35" s="87" t="s">
        <v>58</v>
      </c>
      <c r="D35" s="42">
        <v>244</v>
      </c>
      <c r="E35" s="42">
        <f>D35*45.449%</f>
        <v>110.89556</v>
      </c>
      <c r="F35" s="42">
        <v>169</v>
      </c>
      <c r="G35" s="42">
        <f>F35*0.477918%</f>
        <v>0.80768141999999998</v>
      </c>
      <c r="H35" s="42">
        <v>345.62</v>
      </c>
      <c r="I35" s="42">
        <f>H35*26.768%</f>
        <v>92.515561600000012</v>
      </c>
      <c r="J35" s="42">
        <f>E35+G35+I35</f>
        <v>204.21880302</v>
      </c>
      <c r="K35" s="42">
        <f>ROUND((K33-(K33*0.1))*0.05,2)</f>
        <v>349.68</v>
      </c>
      <c r="L35" s="365">
        <v>559.72</v>
      </c>
      <c r="M35" s="552">
        <v>108.176</v>
      </c>
      <c r="N35" s="554">
        <f t="shared" si="21"/>
        <v>-451.54400000000004</v>
      </c>
      <c r="O35" s="549">
        <f t="shared" si="3"/>
        <v>-80.673193739726997</v>
      </c>
      <c r="P35" s="118" t="s">
        <v>579</v>
      </c>
    </row>
    <row r="36" spans="1:16" ht="17.25" customHeight="1">
      <c r="A36" s="86" t="s">
        <v>49</v>
      </c>
      <c r="B36" s="41" t="s">
        <v>522</v>
      </c>
      <c r="C36" s="87" t="s">
        <v>58</v>
      </c>
      <c r="D36" s="42"/>
      <c r="E36" s="42"/>
      <c r="F36" s="42"/>
      <c r="G36" s="42"/>
      <c r="H36" s="42"/>
      <c r="I36" s="42"/>
      <c r="J36" s="42"/>
      <c r="K36" s="42"/>
      <c r="L36" s="365">
        <v>173.51</v>
      </c>
      <c r="M36" s="552"/>
      <c r="N36" s="554"/>
      <c r="O36" s="549">
        <f t="shared" si="3"/>
        <v>-100</v>
      </c>
      <c r="P36" s="118" t="s">
        <v>579</v>
      </c>
    </row>
    <row r="37" spans="1:16" ht="20.25" customHeight="1">
      <c r="A37" s="95" t="s">
        <v>118</v>
      </c>
      <c r="B37" s="425" t="s">
        <v>218</v>
      </c>
      <c r="C37" s="424" t="s">
        <v>58</v>
      </c>
      <c r="D37" s="547">
        <f t="shared" ref="D37:N37" si="22">SUM(D38:D55)</f>
        <v>1665</v>
      </c>
      <c r="E37" s="547">
        <f t="shared" si="22"/>
        <v>756.77788999999996</v>
      </c>
      <c r="F37" s="547">
        <f t="shared" si="22"/>
        <v>5228</v>
      </c>
      <c r="G37" s="547">
        <f t="shared" si="22"/>
        <v>24.985553039999999</v>
      </c>
      <c r="H37" s="547">
        <f t="shared" si="22"/>
        <v>2462.35</v>
      </c>
      <c r="I37" s="547">
        <f t="shared" si="22"/>
        <v>659.14082200000007</v>
      </c>
      <c r="J37" s="547">
        <f t="shared" si="22"/>
        <v>1440.9042650399995</v>
      </c>
      <c r="K37" s="547">
        <f t="shared" si="22"/>
        <v>1620.306</v>
      </c>
      <c r="L37" s="547">
        <f t="shared" si="22"/>
        <v>2334.7599999999998</v>
      </c>
      <c r="M37" s="548">
        <f t="shared" si="22"/>
        <v>25.588999999999999</v>
      </c>
      <c r="N37" s="548">
        <f t="shared" si="22"/>
        <v>-2309.1709999999998</v>
      </c>
      <c r="O37" s="549">
        <f t="shared" si="3"/>
        <v>-98.903998697938974</v>
      </c>
      <c r="P37" s="118"/>
    </row>
    <row r="38" spans="1:16" ht="15.75" customHeight="1">
      <c r="A38" s="86" t="s">
        <v>120</v>
      </c>
      <c r="B38" s="41" t="s">
        <v>51</v>
      </c>
      <c r="C38" s="87" t="s">
        <v>58</v>
      </c>
      <c r="D38" s="42">
        <v>1462</v>
      </c>
      <c r="E38" s="42">
        <f t="shared" ref="E38:E50" si="23">D38*45.449%</f>
        <v>664.46438000000001</v>
      </c>
      <c r="F38" s="42">
        <v>2392</v>
      </c>
      <c r="G38" s="42">
        <f t="shared" ref="G38:G50" si="24">F38*0.477918%</f>
        <v>11.431798560000001</v>
      </c>
      <c r="H38" s="42">
        <v>1897.4</v>
      </c>
      <c r="I38" s="42">
        <f>H38*26.769%</f>
        <v>507.91500600000001</v>
      </c>
      <c r="J38" s="42">
        <f>E38+G38+I38</f>
        <v>1183.8111845599999</v>
      </c>
      <c r="K38" s="42">
        <v>1347.23</v>
      </c>
      <c r="L38" s="365">
        <v>1712.3</v>
      </c>
      <c r="M38" s="552"/>
      <c r="N38" s="554">
        <f>M38-L38</f>
        <v>-1712.3</v>
      </c>
      <c r="O38" s="549">
        <f t="shared" si="3"/>
        <v>-100</v>
      </c>
      <c r="P38" s="118" t="s">
        <v>579</v>
      </c>
    </row>
    <row r="39" spans="1:16" ht="32.25" customHeight="1">
      <c r="A39" s="86" t="s">
        <v>121</v>
      </c>
      <c r="B39" s="41" t="s">
        <v>219</v>
      </c>
      <c r="C39" s="87" t="s">
        <v>58</v>
      </c>
      <c r="D39" s="42"/>
      <c r="E39" s="42">
        <f t="shared" si="23"/>
        <v>0</v>
      </c>
      <c r="F39" s="42"/>
      <c r="G39" s="42">
        <f t="shared" si="24"/>
        <v>0</v>
      </c>
      <c r="H39" s="42">
        <v>14.53</v>
      </c>
      <c r="I39" s="42">
        <f t="shared" ref="I39:I50" si="25">H39*26.768%</f>
        <v>3.8893904000000004</v>
      </c>
      <c r="J39" s="42">
        <f t="shared" ref="J39:J54" si="26">E39+G39+I39</f>
        <v>3.8893904000000004</v>
      </c>
      <c r="K39" s="42">
        <v>12.553000000000001</v>
      </c>
      <c r="L39" s="365">
        <v>15.62</v>
      </c>
      <c r="M39" s="552">
        <v>2.6680000000000001</v>
      </c>
      <c r="N39" s="554">
        <f t="shared" ref="N39:N64" si="27">M39-L39</f>
        <v>-12.951999999999998</v>
      </c>
      <c r="O39" s="549">
        <f t="shared" si="3"/>
        <v>-82.919334186939821</v>
      </c>
      <c r="P39" s="118" t="s">
        <v>579</v>
      </c>
    </row>
    <row r="40" spans="1:16" ht="31.5">
      <c r="A40" s="86" t="s">
        <v>220</v>
      </c>
      <c r="B40" s="41" t="s">
        <v>221</v>
      </c>
      <c r="C40" s="87" t="s">
        <v>58</v>
      </c>
      <c r="D40" s="42"/>
      <c r="E40" s="42">
        <f t="shared" si="23"/>
        <v>0</v>
      </c>
      <c r="F40" s="42"/>
      <c r="G40" s="42">
        <f t="shared" si="24"/>
        <v>0</v>
      </c>
      <c r="H40" s="42">
        <v>7.76</v>
      </c>
      <c r="I40" s="42">
        <f t="shared" si="25"/>
        <v>2.0771968000000003</v>
      </c>
      <c r="J40" s="42">
        <f t="shared" si="26"/>
        <v>2.0771968000000003</v>
      </c>
      <c r="K40" s="42">
        <v>14.125999999999999</v>
      </c>
      <c r="L40" s="365">
        <v>7.76</v>
      </c>
      <c r="M40" s="552"/>
      <c r="N40" s="554">
        <f t="shared" si="27"/>
        <v>-7.76</v>
      </c>
      <c r="O40" s="549">
        <f t="shared" si="3"/>
        <v>-100</v>
      </c>
      <c r="P40" s="118" t="s">
        <v>579</v>
      </c>
    </row>
    <row r="41" spans="1:16" ht="15.75" customHeight="1">
      <c r="A41" s="86" t="s">
        <v>222</v>
      </c>
      <c r="B41" s="41" t="s">
        <v>223</v>
      </c>
      <c r="C41" s="87" t="s">
        <v>58</v>
      </c>
      <c r="D41" s="42"/>
      <c r="E41" s="42">
        <f t="shared" si="23"/>
        <v>0</v>
      </c>
      <c r="F41" s="42"/>
      <c r="G41" s="42">
        <f t="shared" si="24"/>
        <v>0</v>
      </c>
      <c r="H41" s="42">
        <v>13.84</v>
      </c>
      <c r="I41" s="42">
        <f t="shared" si="25"/>
        <v>3.7046912000000005</v>
      </c>
      <c r="J41" s="42">
        <f t="shared" si="26"/>
        <v>3.7046912000000005</v>
      </c>
      <c r="K41" s="42">
        <v>13.842000000000001</v>
      </c>
      <c r="L41" s="365">
        <v>6.29</v>
      </c>
      <c r="M41" s="552">
        <v>3.46</v>
      </c>
      <c r="N41" s="554">
        <f t="shared" si="27"/>
        <v>-2.83</v>
      </c>
      <c r="O41" s="549">
        <f t="shared" si="3"/>
        <v>-44.992050874403823</v>
      </c>
      <c r="P41" s="118" t="s">
        <v>579</v>
      </c>
    </row>
    <row r="42" spans="1:16" ht="15.75">
      <c r="A42" s="86" t="s">
        <v>224</v>
      </c>
      <c r="B42" s="41" t="s">
        <v>225</v>
      </c>
      <c r="C42" s="87" t="s">
        <v>58</v>
      </c>
      <c r="D42" s="42">
        <v>129</v>
      </c>
      <c r="E42" s="42">
        <f t="shared" si="23"/>
        <v>58.62921</v>
      </c>
      <c r="F42" s="42">
        <v>1129</v>
      </c>
      <c r="G42" s="42">
        <f t="shared" si="24"/>
        <v>5.3956942200000002</v>
      </c>
      <c r="H42" s="42">
        <v>3.15</v>
      </c>
      <c r="I42" s="42">
        <f t="shared" si="25"/>
        <v>0.84319200000000005</v>
      </c>
      <c r="J42" s="42">
        <f t="shared" si="26"/>
        <v>64.868096219999998</v>
      </c>
      <c r="K42" s="42">
        <v>71.36</v>
      </c>
      <c r="L42" s="365">
        <v>136.74</v>
      </c>
      <c r="M42" s="552">
        <v>0.54700000000000004</v>
      </c>
      <c r="N42" s="554">
        <f t="shared" si="27"/>
        <v>-136.19300000000001</v>
      </c>
      <c r="O42" s="549">
        <f t="shared" si="3"/>
        <v>-99.59997074740383</v>
      </c>
      <c r="P42" s="118" t="s">
        <v>579</v>
      </c>
    </row>
    <row r="43" spans="1:16" ht="15.75">
      <c r="A43" s="86" t="s">
        <v>226</v>
      </c>
      <c r="B43" s="41" t="s">
        <v>119</v>
      </c>
      <c r="C43" s="87" t="s">
        <v>58</v>
      </c>
      <c r="D43" s="42"/>
      <c r="E43" s="42">
        <f t="shared" si="23"/>
        <v>0</v>
      </c>
      <c r="F43" s="42"/>
      <c r="G43" s="42">
        <f t="shared" si="24"/>
        <v>0</v>
      </c>
      <c r="H43" s="42">
        <v>111.82</v>
      </c>
      <c r="I43" s="42">
        <f t="shared" si="25"/>
        <v>29.9319776</v>
      </c>
      <c r="J43" s="42">
        <f t="shared" si="26"/>
        <v>29.9319776</v>
      </c>
      <c r="K43" s="42">
        <v>18</v>
      </c>
      <c r="L43" s="365">
        <v>76.319999999999993</v>
      </c>
      <c r="M43" s="552"/>
      <c r="N43" s="554">
        <f t="shared" si="27"/>
        <v>-76.319999999999993</v>
      </c>
      <c r="O43" s="549">
        <f t="shared" si="3"/>
        <v>-100</v>
      </c>
      <c r="P43" s="118" t="s">
        <v>579</v>
      </c>
    </row>
    <row r="44" spans="1:16" ht="15.75">
      <c r="A44" s="86" t="s">
        <v>226</v>
      </c>
      <c r="B44" s="41" t="s">
        <v>207</v>
      </c>
      <c r="C44" s="87" t="s">
        <v>58</v>
      </c>
      <c r="D44" s="42"/>
      <c r="E44" s="42">
        <f t="shared" si="23"/>
        <v>0</v>
      </c>
      <c r="F44" s="42"/>
      <c r="G44" s="42">
        <f t="shared" si="24"/>
        <v>0</v>
      </c>
      <c r="H44" s="42">
        <v>3</v>
      </c>
      <c r="I44" s="42">
        <f t="shared" si="25"/>
        <v>0.80304000000000009</v>
      </c>
      <c r="J44" s="42">
        <f t="shared" si="26"/>
        <v>0.80304000000000009</v>
      </c>
      <c r="K44" s="42">
        <v>4.8</v>
      </c>
      <c r="L44" s="365">
        <v>4.2</v>
      </c>
      <c r="M44" s="552"/>
      <c r="N44" s="554">
        <f t="shared" si="27"/>
        <v>-4.2</v>
      </c>
      <c r="O44" s="549">
        <f t="shared" si="3"/>
        <v>-100</v>
      </c>
      <c r="P44" s="118" t="s">
        <v>579</v>
      </c>
    </row>
    <row r="45" spans="1:16" ht="15.75">
      <c r="A45" s="86" t="s">
        <v>227</v>
      </c>
      <c r="B45" s="41" t="s">
        <v>229</v>
      </c>
      <c r="C45" s="87" t="s">
        <v>58</v>
      </c>
      <c r="D45" s="42"/>
      <c r="E45" s="42">
        <f t="shared" si="23"/>
        <v>0</v>
      </c>
      <c r="F45" s="42">
        <v>5</v>
      </c>
      <c r="G45" s="42">
        <f t="shared" si="24"/>
        <v>2.3895900000000001E-2</v>
      </c>
      <c r="H45" s="42">
        <v>15.83</v>
      </c>
      <c r="I45" s="42">
        <f t="shared" si="25"/>
        <v>4.2373744000000002</v>
      </c>
      <c r="J45" s="42">
        <f t="shared" si="26"/>
        <v>4.2612703000000005</v>
      </c>
      <c r="K45" s="42">
        <v>0</v>
      </c>
      <c r="L45" s="365">
        <v>15.83</v>
      </c>
      <c r="M45" s="552"/>
      <c r="N45" s="554">
        <f t="shared" si="27"/>
        <v>-15.83</v>
      </c>
      <c r="O45" s="549">
        <f t="shared" si="3"/>
        <v>-100</v>
      </c>
      <c r="P45" s="118" t="s">
        <v>579</v>
      </c>
    </row>
    <row r="46" spans="1:16" ht="15.75">
      <c r="A46" s="86" t="s">
        <v>230</v>
      </c>
      <c r="B46" s="41" t="s">
        <v>231</v>
      </c>
      <c r="C46" s="87" t="s">
        <v>58</v>
      </c>
      <c r="D46" s="42"/>
      <c r="E46" s="42">
        <f t="shared" si="23"/>
        <v>0</v>
      </c>
      <c r="F46" s="42">
        <v>105</v>
      </c>
      <c r="G46" s="42">
        <f t="shared" si="24"/>
        <v>0.50181390000000003</v>
      </c>
      <c r="H46" s="42">
        <v>50</v>
      </c>
      <c r="I46" s="42">
        <f t="shared" si="25"/>
        <v>13.384000000000002</v>
      </c>
      <c r="J46" s="42">
        <f t="shared" si="26"/>
        <v>13.885813900000002</v>
      </c>
      <c r="K46" s="42">
        <v>0</v>
      </c>
      <c r="L46" s="365">
        <v>85</v>
      </c>
      <c r="M46" s="552"/>
      <c r="N46" s="554">
        <f t="shared" si="27"/>
        <v>-85</v>
      </c>
      <c r="O46" s="549">
        <f t="shared" si="3"/>
        <v>-100</v>
      </c>
      <c r="P46" s="118" t="s">
        <v>579</v>
      </c>
    </row>
    <row r="47" spans="1:16" ht="15.75">
      <c r="A47" s="86" t="s">
        <v>228</v>
      </c>
      <c r="B47" s="41" t="s">
        <v>154</v>
      </c>
      <c r="C47" s="87" t="s">
        <v>58</v>
      </c>
      <c r="D47" s="42">
        <v>45</v>
      </c>
      <c r="E47" s="42">
        <f t="shared" si="23"/>
        <v>20.45205</v>
      </c>
      <c r="F47" s="42">
        <v>89</v>
      </c>
      <c r="G47" s="42">
        <f t="shared" si="24"/>
        <v>0.42534702000000002</v>
      </c>
      <c r="H47" s="42">
        <v>205</v>
      </c>
      <c r="I47" s="42">
        <f t="shared" si="25"/>
        <v>54.874400000000009</v>
      </c>
      <c r="J47" s="42">
        <f t="shared" si="26"/>
        <v>75.751797020000012</v>
      </c>
      <c r="K47" s="42">
        <v>103.76</v>
      </c>
      <c r="L47" s="365">
        <v>128.34</v>
      </c>
      <c r="M47" s="552">
        <f>14.786-0.21</f>
        <v>14.575999999999999</v>
      </c>
      <c r="N47" s="554">
        <f t="shared" si="27"/>
        <v>-113.76400000000001</v>
      </c>
      <c r="O47" s="549">
        <f t="shared" si="3"/>
        <v>-88.642667913355154</v>
      </c>
      <c r="P47" s="118" t="s">
        <v>579</v>
      </c>
    </row>
    <row r="48" spans="1:16" ht="15.75" customHeight="1">
      <c r="A48" s="86" t="s">
        <v>230</v>
      </c>
      <c r="B48" s="41" t="s">
        <v>234</v>
      </c>
      <c r="C48" s="87" t="s">
        <v>58</v>
      </c>
      <c r="D48" s="42">
        <v>20</v>
      </c>
      <c r="E48" s="42">
        <f t="shared" si="23"/>
        <v>9.0898000000000003</v>
      </c>
      <c r="F48" s="42">
        <v>118</v>
      </c>
      <c r="G48" s="42">
        <f t="shared" si="24"/>
        <v>0.56394323999999996</v>
      </c>
      <c r="H48" s="42">
        <v>20</v>
      </c>
      <c r="I48" s="42">
        <f t="shared" si="25"/>
        <v>5.3536000000000001</v>
      </c>
      <c r="J48" s="42">
        <f t="shared" si="26"/>
        <v>15.007343240000001</v>
      </c>
      <c r="K48" s="42">
        <v>3.9049999999999998</v>
      </c>
      <c r="L48" s="365">
        <v>21.76</v>
      </c>
      <c r="M48" s="552">
        <v>2.2000000000000002</v>
      </c>
      <c r="N48" s="554">
        <f t="shared" si="27"/>
        <v>-19.560000000000002</v>
      </c>
      <c r="O48" s="549">
        <f t="shared" si="3"/>
        <v>-89.889705882352942</v>
      </c>
      <c r="P48" s="118" t="s">
        <v>579</v>
      </c>
    </row>
    <row r="49" spans="1:16" ht="15.75" customHeight="1">
      <c r="A49" s="86" t="s">
        <v>235</v>
      </c>
      <c r="B49" s="41" t="s">
        <v>236</v>
      </c>
      <c r="C49" s="87" t="s">
        <v>58</v>
      </c>
      <c r="D49" s="42">
        <v>0</v>
      </c>
      <c r="E49" s="42">
        <f t="shared" si="23"/>
        <v>0</v>
      </c>
      <c r="F49" s="42">
        <v>50</v>
      </c>
      <c r="G49" s="42">
        <f t="shared" si="24"/>
        <v>0.238959</v>
      </c>
      <c r="H49" s="42">
        <v>110</v>
      </c>
      <c r="I49" s="42">
        <f t="shared" si="25"/>
        <v>29.444800000000004</v>
      </c>
      <c r="J49" s="42">
        <f t="shared" si="26"/>
        <v>29.683759000000006</v>
      </c>
      <c r="K49" s="42">
        <v>0</v>
      </c>
      <c r="L49" s="365">
        <v>116.6</v>
      </c>
      <c r="M49" s="552"/>
      <c r="N49" s="554">
        <f t="shared" si="27"/>
        <v>-116.6</v>
      </c>
      <c r="O49" s="549">
        <f t="shared" si="3"/>
        <v>-100</v>
      </c>
      <c r="P49" s="118" t="s">
        <v>579</v>
      </c>
    </row>
    <row r="50" spans="1:16" s="3" customFormat="1" ht="15.75" customHeight="1">
      <c r="A50" s="86" t="s">
        <v>232</v>
      </c>
      <c r="B50" s="64" t="s">
        <v>238</v>
      </c>
      <c r="C50" s="87" t="s">
        <v>58</v>
      </c>
      <c r="D50" s="42">
        <v>5</v>
      </c>
      <c r="E50" s="42">
        <f t="shared" si="23"/>
        <v>2.2724500000000001</v>
      </c>
      <c r="F50" s="42"/>
      <c r="G50" s="42">
        <f t="shared" si="24"/>
        <v>0</v>
      </c>
      <c r="H50" s="42">
        <v>10.02</v>
      </c>
      <c r="I50" s="42">
        <f t="shared" si="25"/>
        <v>2.6821536000000004</v>
      </c>
      <c r="J50" s="42">
        <f t="shared" si="26"/>
        <v>4.9546036000000004</v>
      </c>
      <c r="K50" s="42">
        <v>10.02</v>
      </c>
      <c r="L50" s="365">
        <v>8</v>
      </c>
      <c r="M50" s="552">
        <v>2.1379999999999999</v>
      </c>
      <c r="N50" s="554">
        <f t="shared" si="27"/>
        <v>-5.8620000000000001</v>
      </c>
      <c r="O50" s="549">
        <f t="shared" si="3"/>
        <v>-73.275000000000006</v>
      </c>
      <c r="P50" s="118" t="s">
        <v>579</v>
      </c>
    </row>
    <row r="51" spans="1:16" ht="15.75" hidden="1">
      <c r="A51" s="86" t="s">
        <v>239</v>
      </c>
      <c r="B51" s="41" t="s">
        <v>134</v>
      </c>
      <c r="C51" s="87" t="s">
        <v>58</v>
      </c>
      <c r="D51" s="42"/>
      <c r="E51" s="42">
        <f>D51*45.449%</f>
        <v>0</v>
      </c>
      <c r="F51" s="42">
        <v>378</v>
      </c>
      <c r="G51" s="42">
        <f>F51*0.477918%</f>
        <v>1.8065300399999999</v>
      </c>
      <c r="H51" s="42"/>
      <c r="I51" s="42">
        <f>H51*26.768%</f>
        <v>0</v>
      </c>
      <c r="J51" s="42">
        <f t="shared" si="26"/>
        <v>1.8065300399999999</v>
      </c>
      <c r="K51" s="42">
        <v>0</v>
      </c>
      <c r="L51" s="365"/>
      <c r="M51" s="552"/>
      <c r="N51" s="554">
        <f t="shared" si="27"/>
        <v>0</v>
      </c>
      <c r="O51" s="549" t="e">
        <f t="shared" si="3"/>
        <v>#DIV/0!</v>
      </c>
      <c r="P51" s="118" t="s">
        <v>579</v>
      </c>
    </row>
    <row r="52" spans="1:16" ht="15.75" hidden="1">
      <c r="A52" s="86" t="s">
        <v>240</v>
      </c>
      <c r="B52" s="41" t="s">
        <v>241</v>
      </c>
      <c r="C52" s="87" t="s">
        <v>58</v>
      </c>
      <c r="D52" s="42"/>
      <c r="E52" s="42">
        <f>D52*45.449%</f>
        <v>0</v>
      </c>
      <c r="F52" s="42">
        <v>300</v>
      </c>
      <c r="G52" s="42">
        <f>F52*0.477918%</f>
        <v>1.433754</v>
      </c>
      <c r="H52" s="42"/>
      <c r="I52" s="42">
        <f>H52*26.768%</f>
        <v>0</v>
      </c>
      <c r="J52" s="42">
        <f t="shared" si="26"/>
        <v>1.433754</v>
      </c>
      <c r="K52" s="42">
        <v>0</v>
      </c>
      <c r="L52" s="365"/>
      <c r="M52" s="552"/>
      <c r="N52" s="554">
        <f t="shared" si="27"/>
        <v>0</v>
      </c>
      <c r="O52" s="549" t="e">
        <f t="shared" si="3"/>
        <v>#DIV/0!</v>
      </c>
      <c r="P52" s="118" t="s">
        <v>579</v>
      </c>
    </row>
    <row r="53" spans="1:16" ht="12.75" hidden="1" customHeight="1">
      <c r="A53" s="86" t="s">
        <v>242</v>
      </c>
      <c r="B53" s="41" t="s">
        <v>208</v>
      </c>
      <c r="C53" s="87" t="s">
        <v>58</v>
      </c>
      <c r="D53" s="42"/>
      <c r="E53" s="42">
        <f>D53*45.449%</f>
        <v>0</v>
      </c>
      <c r="F53" s="42">
        <v>386</v>
      </c>
      <c r="G53" s="42">
        <f>F53*0.477918%</f>
        <v>1.8447634800000001</v>
      </c>
      <c r="H53" s="42"/>
      <c r="I53" s="42">
        <f>H53*26.768%</f>
        <v>0</v>
      </c>
      <c r="J53" s="42">
        <f t="shared" si="26"/>
        <v>1.8447634800000001</v>
      </c>
      <c r="K53" s="42">
        <v>0</v>
      </c>
      <c r="L53" s="42"/>
      <c r="M53" s="375"/>
      <c r="N53" s="554">
        <f t="shared" si="27"/>
        <v>0</v>
      </c>
      <c r="O53" s="549" t="e">
        <f t="shared" si="3"/>
        <v>#DIV/0!</v>
      </c>
      <c r="P53" s="118" t="s">
        <v>579</v>
      </c>
    </row>
    <row r="54" spans="1:16" ht="15.75" hidden="1">
      <c r="A54" s="86" t="s">
        <v>243</v>
      </c>
      <c r="B54" s="41" t="s">
        <v>244</v>
      </c>
      <c r="C54" s="87" t="s">
        <v>58</v>
      </c>
      <c r="D54" s="42"/>
      <c r="E54" s="42">
        <f>D54*45.449%</f>
        <v>0</v>
      </c>
      <c r="F54" s="42">
        <v>276</v>
      </c>
      <c r="G54" s="42">
        <f>F54*0.477918%</f>
        <v>1.3190536800000001</v>
      </c>
      <c r="H54" s="42"/>
      <c r="I54" s="42">
        <f>H54*26.768%</f>
        <v>0</v>
      </c>
      <c r="J54" s="42">
        <f t="shared" si="26"/>
        <v>1.3190536800000001</v>
      </c>
      <c r="K54" s="42">
        <v>0</v>
      </c>
      <c r="L54" s="365"/>
      <c r="M54" s="552"/>
      <c r="N54" s="554">
        <f t="shared" si="27"/>
        <v>0</v>
      </c>
      <c r="O54" s="549" t="e">
        <f t="shared" si="3"/>
        <v>#DIV/0!</v>
      </c>
      <c r="P54" s="118" t="s">
        <v>579</v>
      </c>
    </row>
    <row r="55" spans="1:16" ht="17.25" hidden="1" customHeight="1">
      <c r="A55" s="86" t="s">
        <v>233</v>
      </c>
      <c r="B55" s="41" t="s">
        <v>147</v>
      </c>
      <c r="C55" s="87" t="s">
        <v>58</v>
      </c>
      <c r="D55" s="42">
        <f>SUM(D56:D62)</f>
        <v>4</v>
      </c>
      <c r="E55" s="42">
        <f t="shared" ref="E55:K55" si="28">SUM(E56:E62)</f>
        <v>1.87</v>
      </c>
      <c r="F55" s="42">
        <f t="shared" si="28"/>
        <v>0</v>
      </c>
      <c r="G55" s="42">
        <f t="shared" si="28"/>
        <v>0</v>
      </c>
      <c r="H55" s="42">
        <f t="shared" si="28"/>
        <v>0</v>
      </c>
      <c r="I55" s="42">
        <f t="shared" si="28"/>
        <v>0</v>
      </c>
      <c r="J55" s="42">
        <f t="shared" si="28"/>
        <v>1.87</v>
      </c>
      <c r="K55" s="42">
        <f t="shared" si="28"/>
        <v>20.71</v>
      </c>
      <c r="L55" s="42"/>
      <c r="M55" s="375"/>
      <c r="N55" s="554">
        <f t="shared" si="27"/>
        <v>0</v>
      </c>
      <c r="O55" s="549" t="e">
        <f t="shared" si="3"/>
        <v>#DIV/0!</v>
      </c>
      <c r="P55" s="118" t="s">
        <v>579</v>
      </c>
    </row>
    <row r="56" spans="1:16" ht="15.75" hidden="1">
      <c r="A56" s="86" t="s">
        <v>245</v>
      </c>
      <c r="B56" s="41" t="s">
        <v>56</v>
      </c>
      <c r="C56" s="87" t="s">
        <v>58</v>
      </c>
      <c r="D56" s="42">
        <v>4</v>
      </c>
      <c r="E56" s="42">
        <v>1.87</v>
      </c>
      <c r="F56" s="42"/>
      <c r="G56" s="42">
        <f>F56*0.477918%</f>
        <v>0</v>
      </c>
      <c r="H56" s="42"/>
      <c r="I56" s="42">
        <f t="shared" ref="I56:I62" si="29">H56*26.768%</f>
        <v>0</v>
      </c>
      <c r="J56" s="42">
        <f>E56+G56+I56</f>
        <v>1.87</v>
      </c>
      <c r="K56" s="42">
        <v>0</v>
      </c>
      <c r="L56" s="42"/>
      <c r="M56" s="552"/>
      <c r="N56" s="554">
        <f t="shared" si="27"/>
        <v>0</v>
      </c>
      <c r="O56" s="549" t="e">
        <f t="shared" si="3"/>
        <v>#DIV/0!</v>
      </c>
      <c r="P56" s="118" t="s">
        <v>579</v>
      </c>
    </row>
    <row r="57" spans="1:16" ht="31.5" hidden="1">
      <c r="A57" s="86" t="s">
        <v>246</v>
      </c>
      <c r="B57" s="41" t="s">
        <v>247</v>
      </c>
      <c r="C57" s="87" t="s">
        <v>58</v>
      </c>
      <c r="D57" s="42"/>
      <c r="E57" s="42">
        <f>D57*45.449%</f>
        <v>0</v>
      </c>
      <c r="F57" s="42"/>
      <c r="G57" s="42">
        <f>F57*0.477918%</f>
        <v>0</v>
      </c>
      <c r="H57" s="42"/>
      <c r="I57" s="42">
        <f t="shared" si="29"/>
        <v>0</v>
      </c>
      <c r="J57" s="42">
        <f t="shared" ref="J57:J62" si="30">E57+G57+I57</f>
        <v>0</v>
      </c>
      <c r="K57" s="42">
        <v>7</v>
      </c>
      <c r="L57" s="42"/>
      <c r="M57" s="552"/>
      <c r="N57" s="554">
        <f t="shared" si="27"/>
        <v>0</v>
      </c>
      <c r="O57" s="549" t="e">
        <f t="shared" si="3"/>
        <v>#DIV/0!</v>
      </c>
      <c r="P57" s="118" t="s">
        <v>579</v>
      </c>
    </row>
    <row r="58" spans="1:16" ht="15.75" hidden="1">
      <c r="A58" s="86" t="s">
        <v>248</v>
      </c>
      <c r="B58" s="41" t="s">
        <v>249</v>
      </c>
      <c r="C58" s="87" t="s">
        <v>58</v>
      </c>
      <c r="D58" s="42"/>
      <c r="E58" s="42">
        <f>D58*45.449%</f>
        <v>0</v>
      </c>
      <c r="F58" s="42"/>
      <c r="G58" s="42">
        <f>F58*0.477918%</f>
        <v>0</v>
      </c>
      <c r="H58" s="42"/>
      <c r="I58" s="42">
        <f t="shared" si="29"/>
        <v>0</v>
      </c>
      <c r="J58" s="42">
        <f t="shared" si="30"/>
        <v>0</v>
      </c>
      <c r="K58" s="42">
        <v>1.1000000000000001</v>
      </c>
      <c r="L58" s="42"/>
      <c r="M58" s="552"/>
      <c r="N58" s="554">
        <f t="shared" si="27"/>
        <v>0</v>
      </c>
      <c r="O58" s="549" t="e">
        <f t="shared" si="3"/>
        <v>#DIV/0!</v>
      </c>
      <c r="P58" s="118" t="s">
        <v>579</v>
      </c>
    </row>
    <row r="59" spans="1:16" s="4" customFormat="1" ht="15.75" hidden="1">
      <c r="A59" s="86" t="s">
        <v>250</v>
      </c>
      <c r="B59" s="41" t="s">
        <v>251</v>
      </c>
      <c r="C59" s="87" t="s">
        <v>58</v>
      </c>
      <c r="D59" s="42"/>
      <c r="E59" s="42">
        <f>D59*45.449%</f>
        <v>0</v>
      </c>
      <c r="F59" s="42"/>
      <c r="G59" s="42">
        <f>F59*0.477918%</f>
        <v>0</v>
      </c>
      <c r="H59" s="42"/>
      <c r="I59" s="42">
        <f t="shared" si="29"/>
        <v>0</v>
      </c>
      <c r="J59" s="42">
        <f t="shared" si="30"/>
        <v>0</v>
      </c>
      <c r="K59" s="42">
        <v>6.85</v>
      </c>
      <c r="L59" s="42"/>
      <c r="M59" s="552"/>
      <c r="N59" s="554">
        <f t="shared" si="27"/>
        <v>0</v>
      </c>
      <c r="O59" s="549" t="e">
        <f t="shared" si="3"/>
        <v>#DIV/0!</v>
      </c>
      <c r="P59" s="118" t="s">
        <v>579</v>
      </c>
    </row>
    <row r="60" spans="1:16" s="3" customFormat="1" ht="15.75" hidden="1">
      <c r="A60" s="86" t="s">
        <v>252</v>
      </c>
      <c r="B60" s="41" t="s">
        <v>253</v>
      </c>
      <c r="C60" s="87" t="s">
        <v>58</v>
      </c>
      <c r="D60" s="42"/>
      <c r="E60" s="42">
        <f>D60*45.449%</f>
        <v>0</v>
      </c>
      <c r="F60" s="42"/>
      <c r="G60" s="42">
        <f>F60*0.477918%</f>
        <v>0</v>
      </c>
      <c r="H60" s="42"/>
      <c r="I60" s="42">
        <f t="shared" si="29"/>
        <v>0</v>
      </c>
      <c r="J60" s="42">
        <f t="shared" si="30"/>
        <v>0</v>
      </c>
      <c r="K60" s="42">
        <v>5.76</v>
      </c>
      <c r="L60" s="42"/>
      <c r="M60" s="552"/>
      <c r="N60" s="554">
        <f t="shared" si="27"/>
        <v>0</v>
      </c>
      <c r="O60" s="549" t="e">
        <f t="shared" si="3"/>
        <v>#DIV/0!</v>
      </c>
      <c r="P60" s="118" t="s">
        <v>579</v>
      </c>
    </row>
    <row r="61" spans="1:16" ht="15.75" hidden="1">
      <c r="A61" s="86" t="s">
        <v>254</v>
      </c>
      <c r="B61" s="41" t="s">
        <v>255</v>
      </c>
      <c r="C61" s="87" t="s">
        <v>58</v>
      </c>
      <c r="D61" s="42"/>
      <c r="E61" s="42"/>
      <c r="F61" s="42"/>
      <c r="G61" s="42"/>
      <c r="H61" s="42"/>
      <c r="I61" s="42">
        <f t="shared" si="29"/>
        <v>0</v>
      </c>
      <c r="J61" s="42">
        <f t="shared" si="30"/>
        <v>0</v>
      </c>
      <c r="K61" s="42"/>
      <c r="L61" s="42"/>
      <c r="M61" s="552"/>
      <c r="N61" s="554">
        <f t="shared" si="27"/>
        <v>0</v>
      </c>
      <c r="O61" s="549" t="e">
        <f t="shared" si="3"/>
        <v>#DIV/0!</v>
      </c>
      <c r="P61" s="118" t="s">
        <v>579</v>
      </c>
    </row>
    <row r="62" spans="1:16" ht="18.75" hidden="1" customHeight="1">
      <c r="A62" s="86" t="s">
        <v>256</v>
      </c>
      <c r="B62" s="41" t="s">
        <v>257</v>
      </c>
      <c r="C62" s="87" t="s">
        <v>58</v>
      </c>
      <c r="D62" s="42"/>
      <c r="E62" s="42">
        <f>D62*45.449%</f>
        <v>0</v>
      </c>
      <c r="F62" s="42"/>
      <c r="G62" s="42">
        <f>F62*0.477918%</f>
        <v>0</v>
      </c>
      <c r="H62" s="42"/>
      <c r="I62" s="42">
        <f t="shared" si="29"/>
        <v>0</v>
      </c>
      <c r="J62" s="42">
        <f t="shared" si="30"/>
        <v>0</v>
      </c>
      <c r="K62" s="42"/>
      <c r="L62" s="42"/>
      <c r="M62" s="552"/>
      <c r="N62" s="554">
        <f t="shared" si="27"/>
        <v>0</v>
      </c>
      <c r="O62" s="549" t="e">
        <f t="shared" si="3"/>
        <v>#DIV/0!</v>
      </c>
      <c r="P62" s="118" t="s">
        <v>579</v>
      </c>
    </row>
    <row r="63" spans="1:16" ht="28.5" hidden="1" customHeight="1">
      <c r="A63" s="86" t="s">
        <v>235</v>
      </c>
      <c r="B63" s="41" t="s">
        <v>499</v>
      </c>
      <c r="C63" s="87" t="s">
        <v>58</v>
      </c>
      <c r="D63" s="42"/>
      <c r="E63" s="42"/>
      <c r="F63" s="42"/>
      <c r="G63" s="42"/>
      <c r="H63" s="42"/>
      <c r="I63" s="42"/>
      <c r="J63" s="42"/>
      <c r="K63" s="42"/>
      <c r="L63" s="42"/>
      <c r="M63" s="552"/>
      <c r="N63" s="554">
        <f t="shared" si="27"/>
        <v>0</v>
      </c>
      <c r="O63" s="549" t="e">
        <f t="shared" si="3"/>
        <v>#DIV/0!</v>
      </c>
      <c r="P63" s="118" t="s">
        <v>579</v>
      </c>
    </row>
    <row r="64" spans="1:16" ht="18.75" hidden="1" customHeight="1">
      <c r="A64" s="86" t="s">
        <v>237</v>
      </c>
      <c r="B64" s="41" t="s">
        <v>497</v>
      </c>
      <c r="C64" s="87" t="s">
        <v>58</v>
      </c>
      <c r="D64" s="42"/>
      <c r="E64" s="42"/>
      <c r="F64" s="42"/>
      <c r="G64" s="42"/>
      <c r="H64" s="42"/>
      <c r="I64" s="42"/>
      <c r="J64" s="42"/>
      <c r="K64" s="42"/>
      <c r="L64" s="42"/>
      <c r="M64" s="552"/>
      <c r="N64" s="554">
        <f t="shared" si="27"/>
        <v>0</v>
      </c>
      <c r="O64" s="549" t="e">
        <f t="shared" si="3"/>
        <v>#DIV/0!</v>
      </c>
      <c r="P64" s="118" t="s">
        <v>579</v>
      </c>
    </row>
    <row r="65" spans="1:16" ht="18.75" customHeight="1">
      <c r="A65" s="424" t="s">
        <v>63</v>
      </c>
      <c r="B65" s="425" t="s">
        <v>60</v>
      </c>
      <c r="C65" s="424" t="s">
        <v>58</v>
      </c>
      <c r="D65" s="547">
        <f t="shared" ref="D65:N65" si="31">D5+D30</f>
        <v>20600</v>
      </c>
      <c r="E65" s="547">
        <f t="shared" si="31"/>
        <v>9362.5460399999993</v>
      </c>
      <c r="F65" s="547">
        <f t="shared" si="31"/>
        <v>35371</v>
      </c>
      <c r="G65" s="547">
        <f t="shared" si="31"/>
        <v>173.4045806</v>
      </c>
      <c r="H65" s="547">
        <f t="shared" si="31"/>
        <v>40798.51</v>
      </c>
      <c r="I65" s="547">
        <f t="shared" si="31"/>
        <v>10921.211890800001</v>
      </c>
      <c r="J65" s="547">
        <f t="shared" si="31"/>
        <v>20457.826817420002</v>
      </c>
      <c r="K65" s="547">
        <f t="shared" si="31"/>
        <v>19612.019999999997</v>
      </c>
      <c r="L65" s="547">
        <f t="shared" si="31"/>
        <v>51818.239999999991</v>
      </c>
      <c r="M65" s="548">
        <f t="shared" si="31"/>
        <v>7721.6279999999988</v>
      </c>
      <c r="N65" s="548">
        <f t="shared" si="31"/>
        <v>-43044.101999999999</v>
      </c>
      <c r="O65" s="549">
        <f>M65/L65*100-100</f>
        <v>-85.098629362942461</v>
      </c>
      <c r="P65" s="118"/>
    </row>
    <row r="66" spans="1:16" ht="30.75" customHeight="1">
      <c r="A66" s="424"/>
      <c r="B66" s="425" t="s">
        <v>492</v>
      </c>
      <c r="C66" s="424" t="s">
        <v>58</v>
      </c>
      <c r="D66" s="547"/>
      <c r="E66" s="547"/>
      <c r="F66" s="547"/>
      <c r="G66" s="547"/>
      <c r="H66" s="547"/>
      <c r="I66" s="547"/>
      <c r="J66" s="547"/>
      <c r="K66" s="547"/>
      <c r="L66" s="547">
        <v>212.17</v>
      </c>
      <c r="M66" s="548"/>
      <c r="N66" s="548"/>
      <c r="O66" s="549"/>
      <c r="P66" s="118"/>
    </row>
    <row r="67" spans="1:16" ht="15.75">
      <c r="A67" s="424" t="s">
        <v>65</v>
      </c>
      <c r="B67" s="425" t="s">
        <v>88</v>
      </c>
      <c r="C67" s="424" t="s">
        <v>58</v>
      </c>
      <c r="D67" s="547">
        <f t="shared" ref="D67:K67" si="32">+D69-D65</f>
        <v>8.886999999958789E-2</v>
      </c>
      <c r="E67" s="547">
        <f t="shared" si="32"/>
        <v>1.2000000000625732E-2</v>
      </c>
      <c r="F67" s="547">
        <f t="shared" si="32"/>
        <v>1139</v>
      </c>
      <c r="G67" s="547">
        <f t="shared" si="32"/>
        <v>0.66700940000001196</v>
      </c>
      <c r="H67" s="547">
        <f t="shared" si="32"/>
        <v>0</v>
      </c>
      <c r="I67" s="547">
        <f t="shared" si="32"/>
        <v>-2.2508000001835171E-3</v>
      </c>
      <c r="J67" s="547">
        <f t="shared" si="32"/>
        <v>1.2452579998353031E-2</v>
      </c>
      <c r="K67" s="547">
        <f t="shared" si="32"/>
        <v>2.6400000206194818E-4</v>
      </c>
      <c r="L67" s="547">
        <v>0</v>
      </c>
      <c r="M67" s="548">
        <f>M71-M65</f>
        <v>-7721.6279999999988</v>
      </c>
      <c r="N67" s="548">
        <f>N71-N65</f>
        <v>-8561.898000000001</v>
      </c>
      <c r="O67" s="549"/>
      <c r="P67" s="118"/>
    </row>
    <row r="68" spans="1:16" s="78" customFormat="1" ht="15.75" hidden="1">
      <c r="A68" s="557"/>
      <c r="B68" s="558" t="s">
        <v>258</v>
      </c>
      <c r="C68" s="557" t="s">
        <v>58</v>
      </c>
      <c r="D68" s="559"/>
      <c r="E68" s="559"/>
      <c r="F68" s="559"/>
      <c r="G68" s="559"/>
      <c r="H68" s="559"/>
      <c r="I68" s="547"/>
      <c r="J68" s="547"/>
      <c r="K68" s="547"/>
      <c r="L68" s="547"/>
      <c r="M68" s="548"/>
      <c r="N68" s="548"/>
      <c r="O68" s="549" t="e">
        <f t="shared" si="3"/>
        <v>#DIV/0!</v>
      </c>
      <c r="P68" s="560"/>
    </row>
    <row r="69" spans="1:16" ht="14.25" customHeight="1">
      <c r="A69" s="424" t="s">
        <v>68</v>
      </c>
      <c r="B69" s="561" t="s">
        <v>259</v>
      </c>
      <c r="C69" s="424" t="s">
        <v>58</v>
      </c>
      <c r="D69" s="547">
        <f t="shared" ref="D69:I69" si="33">D73</f>
        <v>20600.08887</v>
      </c>
      <c r="E69" s="547">
        <f t="shared" si="33"/>
        <v>9362.5580399999999</v>
      </c>
      <c r="F69" s="547">
        <f t="shared" si="33"/>
        <v>36510</v>
      </c>
      <c r="G69" s="547">
        <f t="shared" si="33"/>
        <v>174.07159000000001</v>
      </c>
      <c r="H69" s="547">
        <f t="shared" si="33"/>
        <v>40798.51</v>
      </c>
      <c r="I69" s="547">
        <f t="shared" si="33"/>
        <v>10921.209640000001</v>
      </c>
      <c r="J69" s="547">
        <f>E69+G69+I69</f>
        <v>20457.83927</v>
      </c>
      <c r="K69" s="547">
        <f>K73</f>
        <v>19612.020263999999</v>
      </c>
      <c r="L69" s="547">
        <f>L73</f>
        <v>51606</v>
      </c>
      <c r="M69" s="548">
        <f t="shared" ref="M69" si="34">M73</f>
        <v>0</v>
      </c>
      <c r="N69" s="548">
        <f>M69-L69</f>
        <v>-51606</v>
      </c>
      <c r="O69" s="549"/>
      <c r="P69" s="118"/>
    </row>
    <row r="70" spans="1:16" ht="29.25" customHeight="1">
      <c r="A70" s="424" t="s">
        <v>69</v>
      </c>
      <c r="B70" s="561" t="s">
        <v>260</v>
      </c>
      <c r="C70" s="424" t="s">
        <v>58</v>
      </c>
      <c r="D70" s="562"/>
      <c r="E70" s="562"/>
      <c r="F70" s="547"/>
      <c r="G70" s="547"/>
      <c r="H70" s="547"/>
      <c r="I70" s="547"/>
      <c r="J70" s="562"/>
      <c r="K70" s="562"/>
      <c r="L70" s="364"/>
      <c r="M70" s="555"/>
      <c r="N70" s="563">
        <f>M70-L70</f>
        <v>0</v>
      </c>
      <c r="O70" s="564"/>
      <c r="P70" s="118"/>
    </row>
    <row r="71" spans="1:16" ht="15.75">
      <c r="A71" s="424" t="s">
        <v>98</v>
      </c>
      <c r="B71" s="561" t="s">
        <v>62</v>
      </c>
      <c r="C71" s="424" t="s">
        <v>58</v>
      </c>
      <c r="D71" s="562"/>
      <c r="E71" s="562"/>
      <c r="F71" s="547"/>
      <c r="G71" s="547"/>
      <c r="H71" s="547"/>
      <c r="I71" s="547"/>
      <c r="J71" s="562"/>
      <c r="K71" s="547">
        <f>K73</f>
        <v>19612.020263999999</v>
      </c>
      <c r="L71" s="364">
        <f>L73</f>
        <v>51606</v>
      </c>
      <c r="M71" s="555">
        <f>M69+M70</f>
        <v>0</v>
      </c>
      <c r="N71" s="563">
        <f>M71-L71</f>
        <v>-51606</v>
      </c>
      <c r="O71" s="564"/>
      <c r="P71" s="565"/>
    </row>
    <row r="72" spans="1:16" ht="15.75">
      <c r="A72" s="889" t="s">
        <v>139</v>
      </c>
      <c r="B72" s="891" t="s">
        <v>64</v>
      </c>
      <c r="C72" s="424" t="s">
        <v>91</v>
      </c>
      <c r="D72" s="547">
        <v>138255.63</v>
      </c>
      <c r="E72" s="547">
        <v>62835.96</v>
      </c>
      <c r="F72" s="547">
        <v>226229</v>
      </c>
      <c r="G72" s="547">
        <v>1081.19</v>
      </c>
      <c r="H72" s="547">
        <v>183758.76</v>
      </c>
      <c r="I72" s="547">
        <f>C90</f>
        <v>49641.862000000001</v>
      </c>
      <c r="J72" s="547">
        <f>E72+G72+I72</f>
        <v>113559.012</v>
      </c>
      <c r="K72" s="547">
        <f>'[2]По ПУ АФ (компенсир.) '!C18</f>
        <v>110000</v>
      </c>
      <c r="L72" s="547">
        <v>165723</v>
      </c>
      <c r="M72" s="548"/>
      <c r="N72" s="563">
        <f t="shared" ref="N72:N73" si="35">M72-L72</f>
        <v>-165723</v>
      </c>
      <c r="O72" s="564"/>
      <c r="P72" s="118"/>
    </row>
    <row r="73" spans="1:16" ht="15.75">
      <c r="A73" s="890"/>
      <c r="B73" s="892"/>
      <c r="C73" s="424" t="s">
        <v>58</v>
      </c>
      <c r="D73" s="562">
        <f>D72*D76</f>
        <v>20600.08887</v>
      </c>
      <c r="E73" s="547">
        <f>E72*E76</f>
        <v>9362.5580399999999</v>
      </c>
      <c r="F73" s="547">
        <v>36510</v>
      </c>
      <c r="G73" s="547">
        <f>G72*G76</f>
        <v>174.07159000000001</v>
      </c>
      <c r="H73" s="547">
        <f>H65</f>
        <v>40798.51</v>
      </c>
      <c r="I73" s="547">
        <f>I72*I76</f>
        <v>10921.209640000001</v>
      </c>
      <c r="J73" s="547">
        <f>E73+G73+I73</f>
        <v>20457.83927</v>
      </c>
      <c r="K73" s="547">
        <f>'[2]По ПУ АФ (компенсир.) '!E18</f>
        <v>19612.020263999999</v>
      </c>
      <c r="L73" s="547">
        <v>51606</v>
      </c>
      <c r="M73" s="548"/>
      <c r="N73" s="563">
        <f t="shared" si="35"/>
        <v>-51606</v>
      </c>
      <c r="O73" s="564"/>
      <c r="P73" s="118"/>
    </row>
    <row r="74" spans="1:16" ht="21" customHeight="1">
      <c r="A74" s="885" t="s">
        <v>261</v>
      </c>
      <c r="B74" s="886" t="s">
        <v>96</v>
      </c>
      <c r="C74" s="424" t="s">
        <v>67</v>
      </c>
      <c r="D74" s="566">
        <v>13</v>
      </c>
      <c r="E74" s="566"/>
      <c r="F74" s="566"/>
      <c r="G74" s="566"/>
      <c r="H74" s="567">
        <v>11</v>
      </c>
      <c r="I74" s="566"/>
      <c r="J74" s="566"/>
      <c r="K74" s="109" t="s">
        <v>262</v>
      </c>
      <c r="L74" s="568">
        <v>13</v>
      </c>
      <c r="M74" s="569"/>
      <c r="N74" s="553"/>
      <c r="O74" s="564"/>
      <c r="P74" s="118"/>
    </row>
    <row r="75" spans="1:16" ht="15.75">
      <c r="A75" s="885"/>
      <c r="B75" s="886"/>
      <c r="C75" s="424" t="s">
        <v>97</v>
      </c>
      <c r="D75" s="570">
        <f>D72/0.87-D72</f>
        <v>20658.8872413793</v>
      </c>
      <c r="E75" s="570"/>
      <c r="F75" s="570"/>
      <c r="G75" s="570"/>
      <c r="H75" s="570">
        <v>22480</v>
      </c>
      <c r="I75" s="570"/>
      <c r="J75" s="570"/>
      <c r="K75" s="570">
        <v>16483</v>
      </c>
      <c r="L75" s="562">
        <v>20483</v>
      </c>
      <c r="M75" s="548"/>
      <c r="N75" s="553"/>
      <c r="O75" s="564"/>
      <c r="P75" s="118"/>
    </row>
    <row r="76" spans="1:16" ht="15.75">
      <c r="A76" s="424" t="s">
        <v>263</v>
      </c>
      <c r="B76" s="425" t="s">
        <v>70</v>
      </c>
      <c r="C76" s="424" t="s">
        <v>99</v>
      </c>
      <c r="D76" s="571">
        <v>0.14899999999999999</v>
      </c>
      <c r="E76" s="571">
        <v>0.14899999999999999</v>
      </c>
      <c r="F76" s="571">
        <v>0.161</v>
      </c>
      <c r="G76" s="571">
        <v>0.161</v>
      </c>
      <c r="H76" s="571">
        <v>0.22</v>
      </c>
      <c r="I76" s="572">
        <v>0.22</v>
      </c>
      <c r="J76" s="571" t="s">
        <v>264</v>
      </c>
      <c r="K76" s="571" t="s">
        <v>265</v>
      </c>
      <c r="L76" s="573">
        <v>0.311</v>
      </c>
      <c r="M76" s="574">
        <v>0.311</v>
      </c>
      <c r="N76" s="553"/>
      <c r="O76" s="553"/>
      <c r="P76" s="118"/>
    </row>
    <row r="77" spans="1:16" s="3" customFormat="1" ht="18" customHeight="1">
      <c r="A77" s="424"/>
      <c r="B77" s="425" t="s">
        <v>100</v>
      </c>
      <c r="C77" s="424"/>
      <c r="D77" s="571"/>
      <c r="E77" s="571"/>
      <c r="F77" s="571"/>
      <c r="G77" s="571"/>
      <c r="H77" s="571"/>
      <c r="I77" s="571"/>
      <c r="J77" s="571"/>
      <c r="K77" s="571"/>
      <c r="L77" s="575"/>
      <c r="M77" s="576"/>
      <c r="N77" s="577"/>
      <c r="O77" s="577"/>
      <c r="P77" s="550"/>
    </row>
    <row r="78" spans="1:16" s="3" customFormat="1" ht="32.25" customHeight="1">
      <c r="A78" s="71" t="s">
        <v>266</v>
      </c>
      <c r="B78" s="113" t="s">
        <v>101</v>
      </c>
      <c r="C78" s="71" t="s">
        <v>102</v>
      </c>
      <c r="D78" s="364">
        <f>D79+D80</f>
        <v>49.75</v>
      </c>
      <c r="E78" s="364"/>
      <c r="F78" s="364"/>
      <c r="G78" s="364"/>
      <c r="H78" s="114">
        <f>H79+H80</f>
        <v>41</v>
      </c>
      <c r="I78" s="114"/>
      <c r="J78" s="114"/>
      <c r="K78" s="114">
        <f>K79+K80</f>
        <v>41</v>
      </c>
      <c r="L78" s="114">
        <f>L79+L80</f>
        <v>44</v>
      </c>
      <c r="M78" s="578">
        <f>M79+M80</f>
        <v>17</v>
      </c>
      <c r="N78" s="577"/>
      <c r="O78" s="577"/>
      <c r="P78" s="550"/>
    </row>
    <row r="79" spans="1:16" s="3" customFormat="1" ht="15.75">
      <c r="A79" s="71"/>
      <c r="B79" s="115" t="s">
        <v>103</v>
      </c>
      <c r="C79" s="66" t="s">
        <v>102</v>
      </c>
      <c r="D79" s="365">
        <v>37.75</v>
      </c>
      <c r="E79" s="365"/>
      <c r="F79" s="365"/>
      <c r="G79" s="365"/>
      <c r="H79" s="116">
        <v>33</v>
      </c>
      <c r="I79" s="116"/>
      <c r="J79" s="116"/>
      <c r="K79" s="116">
        <v>33</v>
      </c>
      <c r="L79" s="116">
        <v>33</v>
      </c>
      <c r="M79" s="579">
        <v>9</v>
      </c>
      <c r="N79" s="577"/>
      <c r="O79" s="577"/>
      <c r="P79" s="550"/>
    </row>
    <row r="80" spans="1:16" s="3" customFormat="1" ht="15.75">
      <c r="A80" s="71"/>
      <c r="B80" s="115" t="s">
        <v>122</v>
      </c>
      <c r="C80" s="66" t="s">
        <v>102</v>
      </c>
      <c r="D80" s="116">
        <v>12</v>
      </c>
      <c r="E80" s="116"/>
      <c r="F80" s="116"/>
      <c r="G80" s="116"/>
      <c r="H80" s="116">
        <v>8</v>
      </c>
      <c r="I80" s="116"/>
      <c r="J80" s="116"/>
      <c r="K80" s="116">
        <v>8</v>
      </c>
      <c r="L80" s="116">
        <v>11</v>
      </c>
      <c r="M80" s="579">
        <v>8</v>
      </c>
      <c r="N80" s="577"/>
      <c r="O80" s="577"/>
      <c r="P80" s="550"/>
    </row>
    <row r="81" spans="1:16" s="3" customFormat="1" ht="15.75">
      <c r="A81" s="71" t="s">
        <v>267</v>
      </c>
      <c r="B81" s="113" t="s">
        <v>104</v>
      </c>
      <c r="C81" s="71" t="s">
        <v>105</v>
      </c>
      <c r="D81" s="335"/>
      <c r="E81" s="335"/>
      <c r="F81" s="335"/>
      <c r="G81" s="335"/>
      <c r="H81" s="337">
        <v>61608</v>
      </c>
      <c r="I81" s="335"/>
      <c r="J81" s="335"/>
      <c r="K81" s="337">
        <v>61608</v>
      </c>
      <c r="L81" s="114">
        <v>45190</v>
      </c>
      <c r="M81" s="578">
        <f>AVERAGE(M82:M83)</f>
        <v>69497.404513888891</v>
      </c>
      <c r="N81" s="577"/>
      <c r="O81" s="577"/>
      <c r="P81" s="550"/>
    </row>
    <row r="82" spans="1:16" s="3" customFormat="1" ht="15.75">
      <c r="A82" s="64"/>
      <c r="B82" s="115" t="s">
        <v>103</v>
      </c>
      <c r="C82" s="66" t="s">
        <v>105</v>
      </c>
      <c r="D82" s="335">
        <v>56499</v>
      </c>
      <c r="E82" s="335"/>
      <c r="F82" s="335"/>
      <c r="G82" s="335"/>
      <c r="H82" s="335">
        <v>57148</v>
      </c>
      <c r="I82" s="335"/>
      <c r="J82" s="335"/>
      <c r="K82" s="335">
        <v>57148</v>
      </c>
      <c r="L82" s="116">
        <v>60576.4</v>
      </c>
      <c r="M82" s="579">
        <f>M12/4/M79*1000</f>
        <v>64797.527777777774</v>
      </c>
      <c r="N82" s="577"/>
      <c r="O82" s="577"/>
      <c r="P82" s="550"/>
    </row>
    <row r="83" spans="1:16" ht="15.75">
      <c r="A83" s="580"/>
      <c r="B83" s="115" t="s">
        <v>122</v>
      </c>
      <c r="C83" s="66" t="s">
        <v>105</v>
      </c>
      <c r="D83" s="335">
        <v>84484</v>
      </c>
      <c r="E83" s="335"/>
      <c r="F83" s="335"/>
      <c r="G83" s="335"/>
      <c r="H83" s="335">
        <v>80006</v>
      </c>
      <c r="I83" s="335"/>
      <c r="J83" s="335"/>
      <c r="K83" s="335">
        <v>80006</v>
      </c>
      <c r="L83" s="116">
        <v>84806.9</v>
      </c>
      <c r="M83" s="579">
        <f>M33/4/M80*1000</f>
        <v>74197.28125</v>
      </c>
      <c r="N83" s="553"/>
      <c r="O83" s="553"/>
      <c r="P83" s="118"/>
    </row>
    <row r="84" spans="1:16" ht="15.75">
      <c r="A84" s="581"/>
      <c r="B84" s="60"/>
      <c r="C84" s="61"/>
      <c r="D84" s="62"/>
      <c r="E84" s="62"/>
      <c r="F84" s="62"/>
      <c r="G84" s="62"/>
      <c r="H84" s="62"/>
      <c r="I84" s="62"/>
      <c r="J84" s="62"/>
      <c r="K84" s="62"/>
      <c r="L84" s="582"/>
      <c r="M84" s="583"/>
      <c r="N84" s="584"/>
      <c r="O84" s="584"/>
      <c r="P84" s="63"/>
    </row>
    <row r="85" spans="1:16" ht="15.75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546"/>
      <c r="N85" s="65"/>
      <c r="O85" s="65"/>
      <c r="P85" s="65"/>
    </row>
    <row r="86" spans="1:16" ht="15.75" hidden="1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546"/>
      <c r="N86" s="65"/>
      <c r="O86" s="65"/>
      <c r="P86" s="65"/>
    </row>
    <row r="87" spans="1:16" ht="110.25" hidden="1">
      <c r="A87" s="422" t="s">
        <v>180</v>
      </c>
      <c r="B87" s="422" t="s">
        <v>181</v>
      </c>
      <c r="C87" s="422" t="s">
        <v>183</v>
      </c>
      <c r="D87" s="424" t="s">
        <v>141</v>
      </c>
      <c r="E87" s="422" t="s">
        <v>268</v>
      </c>
      <c r="F87" s="422" t="s">
        <v>185</v>
      </c>
      <c r="G87" s="422" t="s">
        <v>188</v>
      </c>
      <c r="H87" s="65"/>
      <c r="I87" s="74"/>
      <c r="J87" s="74"/>
      <c r="K87" s="74"/>
      <c r="L87" s="74"/>
      <c r="M87" s="546"/>
      <c r="N87" s="65"/>
      <c r="O87" s="65"/>
      <c r="P87" s="65"/>
    </row>
    <row r="88" spans="1:16" ht="31.5" hidden="1">
      <c r="A88" s="66">
        <v>1</v>
      </c>
      <c r="B88" s="67" t="s">
        <v>269</v>
      </c>
      <c r="C88" s="68">
        <f>45667.432+17168.532</f>
        <v>62835.964</v>
      </c>
      <c r="D88" s="69">
        <v>0.14799999999999999</v>
      </c>
      <c r="E88" s="68">
        <f>0.149-D88</f>
        <v>1.0000000000000009E-3</v>
      </c>
      <c r="F88" s="68">
        <f>C88*D88</f>
        <v>9299.7226719999999</v>
      </c>
      <c r="G88" s="68">
        <f>C88*E88</f>
        <v>62.835964000000054</v>
      </c>
      <c r="H88" s="65"/>
      <c r="I88" s="74"/>
      <c r="J88" s="74"/>
      <c r="K88" s="74"/>
      <c r="L88" s="74"/>
      <c r="M88" s="546"/>
      <c r="N88" s="65"/>
      <c r="O88" s="65"/>
      <c r="P88" s="65"/>
    </row>
    <row r="89" spans="1:16" ht="15.75" hidden="1">
      <c r="A89" s="66">
        <v>2</v>
      </c>
      <c r="B89" s="67" t="s">
        <v>270</v>
      </c>
      <c r="C89" s="68">
        <f>767.052+314.14</f>
        <v>1081.192</v>
      </c>
      <c r="D89" s="69">
        <v>0.161</v>
      </c>
      <c r="E89" s="68"/>
      <c r="F89" s="68">
        <f>C89*D89</f>
        <v>174.071912</v>
      </c>
      <c r="G89" s="68"/>
      <c r="H89" s="65"/>
      <c r="I89" s="74"/>
      <c r="J89" s="74"/>
      <c r="K89" s="74"/>
      <c r="L89" s="74"/>
      <c r="M89" s="546"/>
      <c r="N89" s="65"/>
      <c r="O89" s="65"/>
      <c r="P89" s="65"/>
    </row>
    <row r="90" spans="1:16" ht="31.5" hidden="1">
      <c r="A90" s="66">
        <v>3</v>
      </c>
      <c r="B90" s="67" t="s">
        <v>271</v>
      </c>
      <c r="C90" s="70">
        <f>17055.454+25692.202+6894.206</f>
        <v>49641.862000000001</v>
      </c>
      <c r="D90" s="69">
        <v>0.22</v>
      </c>
      <c r="E90" s="68"/>
      <c r="F90" s="68">
        <f>C90*D90</f>
        <v>10921.209640000001</v>
      </c>
      <c r="G90" s="68"/>
      <c r="H90" s="65"/>
      <c r="I90" s="74"/>
      <c r="J90" s="74"/>
      <c r="K90" s="74"/>
      <c r="L90" s="74"/>
      <c r="M90" s="546"/>
      <c r="N90" s="65"/>
      <c r="O90" s="65"/>
      <c r="P90" s="65"/>
    </row>
    <row r="91" spans="1:16" ht="15.75" hidden="1">
      <c r="A91" s="71"/>
      <c r="B91" s="422"/>
      <c r="C91" s="72">
        <f>SUM(C88:C90)</f>
        <v>113559.01800000001</v>
      </c>
      <c r="D91" s="73"/>
      <c r="E91" s="72"/>
      <c r="F91" s="72">
        <f>ROUND(SUM(F88:F90),3)</f>
        <v>20395.004000000001</v>
      </c>
      <c r="G91" s="72">
        <f>SUM(G88:G90)</f>
        <v>62.835964000000054</v>
      </c>
      <c r="H91" s="65"/>
      <c r="I91" s="74"/>
      <c r="J91" s="74"/>
      <c r="K91" s="74"/>
      <c r="L91" s="74"/>
      <c r="M91" s="546"/>
      <c r="N91" s="65"/>
      <c r="O91" s="65"/>
      <c r="P91" s="65"/>
    </row>
    <row r="92" spans="1:16" ht="15.75" hidden="1">
      <c r="A92" s="59"/>
      <c r="B92" s="60"/>
      <c r="C92" s="61"/>
      <c r="D92" s="62"/>
      <c r="E92" s="62"/>
      <c r="F92" s="62"/>
      <c r="G92" s="62"/>
      <c r="H92" s="62"/>
      <c r="I92" s="59"/>
      <c r="J92" s="59"/>
      <c r="K92" s="74"/>
      <c r="L92" s="74"/>
      <c r="M92" s="546"/>
      <c r="N92" s="65"/>
      <c r="O92" s="65"/>
      <c r="P92" s="65"/>
    </row>
    <row r="93" spans="1:16" ht="15.75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546"/>
      <c r="N93" s="65"/>
      <c r="O93" s="65"/>
      <c r="P93" s="65"/>
    </row>
    <row r="94" spans="1:16" s="3" customFormat="1" ht="15.75">
      <c r="A94" s="75"/>
      <c r="B94" s="76" t="s">
        <v>517</v>
      </c>
      <c r="C94" s="76"/>
      <c r="D94" s="76"/>
      <c r="E94" s="77"/>
      <c r="F94" s="77"/>
      <c r="G94" s="77" t="s">
        <v>272</v>
      </c>
      <c r="H94" s="77"/>
      <c r="I94" s="77"/>
      <c r="J94" s="77"/>
      <c r="K94" s="77"/>
      <c r="L94" s="77"/>
      <c r="M94" s="397"/>
      <c r="N94" s="76"/>
      <c r="O94" s="76" t="s">
        <v>304</v>
      </c>
      <c r="P94" s="76"/>
    </row>
    <row r="95" spans="1:16" ht="15.75">
      <c r="A95" s="75"/>
      <c r="B95" s="65"/>
      <c r="C95" s="65"/>
      <c r="D95" s="65"/>
      <c r="E95" s="74"/>
      <c r="F95" s="74"/>
      <c r="G95" s="74"/>
      <c r="H95" s="74"/>
      <c r="I95" s="74"/>
      <c r="J95" s="74"/>
      <c r="K95" s="74"/>
      <c r="L95" s="74"/>
      <c r="M95" s="546"/>
      <c r="N95" s="65"/>
      <c r="O95" s="65"/>
      <c r="P95" s="65"/>
    </row>
    <row r="96" spans="1:16" ht="15.75">
      <c r="A96" s="75"/>
      <c r="B96" s="76" t="s">
        <v>71</v>
      </c>
      <c r="C96" s="76"/>
      <c r="D96" s="76"/>
      <c r="E96" s="77"/>
      <c r="F96" s="77"/>
      <c r="G96" s="77"/>
      <c r="H96" s="77"/>
      <c r="I96" s="77"/>
      <c r="J96" s="77"/>
      <c r="K96" s="77"/>
      <c r="L96" s="77"/>
      <c r="M96" s="397"/>
      <c r="N96" s="76"/>
      <c r="O96" s="76" t="s">
        <v>595</v>
      </c>
      <c r="P96" s="65"/>
    </row>
    <row r="97" spans="1:16" ht="15.75">
      <c r="A97" s="75"/>
      <c r="B97" s="65"/>
      <c r="C97" s="65"/>
      <c r="D97" s="65"/>
      <c r="E97" s="74"/>
      <c r="F97" s="74"/>
      <c r="G97" s="74"/>
      <c r="H97" s="74"/>
      <c r="I97" s="74"/>
      <c r="J97" s="74"/>
      <c r="K97" s="74"/>
      <c r="L97" s="74"/>
      <c r="M97" s="546"/>
      <c r="N97" s="65"/>
      <c r="O97" s="65"/>
      <c r="P97" s="65"/>
    </row>
    <row r="98" spans="1:16" ht="15.75">
      <c r="A98" s="75"/>
      <c r="B98" s="76" t="s">
        <v>72</v>
      </c>
      <c r="C98" s="76"/>
      <c r="D98" s="76"/>
      <c r="E98" s="77"/>
      <c r="F98" s="77"/>
      <c r="G98" s="77" t="s">
        <v>169</v>
      </c>
      <c r="H98" s="77"/>
      <c r="I98" s="77"/>
      <c r="J98" s="77"/>
      <c r="K98" s="77"/>
      <c r="L98" s="77"/>
      <c r="M98" s="397"/>
      <c r="N98" s="65"/>
      <c r="O98" s="76" t="s">
        <v>169</v>
      </c>
      <c r="P98" s="65"/>
    </row>
    <row r="99" spans="1:16" ht="15.75">
      <c r="A99" s="75"/>
      <c r="B99" s="76"/>
      <c r="C99" s="76"/>
      <c r="D99" s="76"/>
      <c r="E99" s="77"/>
      <c r="F99" s="77"/>
      <c r="G99" s="77"/>
      <c r="H99" s="77"/>
      <c r="I99" s="77"/>
      <c r="J99" s="77"/>
      <c r="K99" s="77"/>
      <c r="L99" s="77"/>
      <c r="M99" s="397"/>
      <c r="N99" s="65"/>
      <c r="O99" s="65"/>
      <c r="P99" s="65"/>
    </row>
    <row r="100" spans="1:16" ht="15.75">
      <c r="A100" s="75"/>
      <c r="B100" s="76" t="s">
        <v>589</v>
      </c>
      <c r="C100" s="76"/>
      <c r="D100" s="76"/>
      <c r="E100" s="77"/>
      <c r="F100" s="77"/>
      <c r="G100" s="77"/>
      <c r="H100" s="77"/>
      <c r="I100" s="77"/>
      <c r="J100" s="77"/>
      <c r="K100" s="77"/>
      <c r="L100" s="77"/>
      <c r="M100" s="397"/>
      <c r="N100" s="65"/>
      <c r="O100" s="76" t="s">
        <v>590</v>
      </c>
      <c r="P100" s="65"/>
    </row>
    <row r="101" spans="1:16">
      <c r="A101" s="5"/>
      <c r="B101" s="3"/>
      <c r="C101" s="3"/>
      <c r="D101" s="3"/>
      <c r="E101" s="4"/>
      <c r="F101" s="4"/>
      <c r="G101" s="4"/>
      <c r="H101" s="4"/>
      <c r="I101" s="4"/>
      <c r="J101" s="4"/>
      <c r="K101" s="4"/>
      <c r="L101" s="4"/>
      <c r="M101" s="371"/>
    </row>
    <row r="102" spans="1:16">
      <c r="A102" s="3"/>
      <c r="B102" s="3"/>
      <c r="C102" s="3"/>
      <c r="D102" s="3"/>
      <c r="E102" s="4"/>
      <c r="F102" s="4"/>
      <c r="G102" s="4"/>
      <c r="H102" s="4"/>
      <c r="I102" s="4"/>
      <c r="J102" s="4"/>
      <c r="K102" s="4"/>
      <c r="L102" s="4"/>
      <c r="M102" s="371"/>
    </row>
    <row r="103" spans="1:16">
      <c r="A103" s="3" t="s">
        <v>108</v>
      </c>
      <c r="B103" s="3" t="s">
        <v>505</v>
      </c>
      <c r="C103" s="3"/>
      <c r="D103" s="3"/>
      <c r="E103" s="4"/>
      <c r="F103" s="4"/>
      <c r="G103" s="4"/>
      <c r="H103" s="4"/>
      <c r="I103" s="4"/>
      <c r="J103" s="4"/>
      <c r="K103" s="4"/>
      <c r="L103" s="4"/>
      <c r="M103" s="371"/>
    </row>
    <row r="104" spans="1:16">
      <c r="A104" s="1"/>
      <c r="B104" s="3" t="s">
        <v>109</v>
      </c>
    </row>
    <row r="105" spans="1:16">
      <c r="B105" s="4" t="s">
        <v>592</v>
      </c>
    </row>
  </sheetData>
  <mergeCells count="18">
    <mergeCell ref="A74:A75"/>
    <mergeCell ref="B74:B75"/>
    <mergeCell ref="L3:L4"/>
    <mergeCell ref="A72:A73"/>
    <mergeCell ref="B72:B73"/>
    <mergeCell ref="H3:I3"/>
    <mergeCell ref="J3:J4"/>
    <mergeCell ref="K3:K4"/>
    <mergeCell ref="A3:A4"/>
    <mergeCell ref="B3:B4"/>
    <mergeCell ref="C3:C4"/>
    <mergeCell ref="D3:E3"/>
    <mergeCell ref="F3:G3"/>
    <mergeCell ref="A1:P1"/>
    <mergeCell ref="P3:P4"/>
    <mergeCell ref="M3:M4"/>
    <mergeCell ref="N3:N4"/>
    <mergeCell ref="O3:O4"/>
  </mergeCells>
  <pageMargins left="0.78740157480314965" right="0.59055118110236227" top="0.6692913385826772" bottom="0.31496062992125984" header="0.23622047244094491" footer="0.19685039370078741"/>
  <pageSetup paperSize="9" scale="50" fitToWidth="2" fitToHeight="2" orientation="portrait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C80"/>
  </sheetPr>
  <dimension ref="A1:J62"/>
  <sheetViews>
    <sheetView view="pageBreakPreview" zoomScale="83" zoomScaleSheetLayoutView="83" workbookViewId="0">
      <pane xSplit="1" ySplit="3" topLeftCell="B19" activePane="bottomRight" state="frozen"/>
      <selection pane="topRight" activeCell="B1" sqref="B1"/>
      <selection pane="bottomLeft" activeCell="A4" sqref="A4"/>
      <selection pane="bottomRight" activeCell="I59" sqref="I59"/>
    </sheetView>
  </sheetViews>
  <sheetFormatPr defaultColWidth="9.140625" defaultRowHeight="12.75"/>
  <cols>
    <col min="1" max="1" width="6.7109375" style="6" customWidth="1"/>
    <col min="2" max="2" width="38.7109375" style="6" customWidth="1"/>
    <col min="3" max="3" width="11.7109375" style="6" customWidth="1"/>
    <col min="4" max="4" width="15.5703125" style="6" hidden="1" customWidth="1"/>
    <col min="5" max="5" width="14.5703125" style="6" hidden="1" customWidth="1"/>
    <col min="6" max="6" width="18.7109375" style="6" customWidth="1"/>
    <col min="7" max="7" width="17" style="372" customWidth="1"/>
    <col min="8" max="8" width="14" style="1" customWidth="1"/>
    <col min="9" max="9" width="14.140625" style="333" customWidth="1"/>
    <col min="10" max="10" width="37.5703125" style="1" customWidth="1"/>
    <col min="11" max="16384" width="9.140625" style="1"/>
  </cols>
  <sheetData>
    <row r="1" spans="1:10" ht="78" customHeight="1">
      <c r="A1" s="901" t="s">
        <v>581</v>
      </c>
      <c r="B1" s="901"/>
      <c r="C1" s="901"/>
      <c r="D1" s="901"/>
      <c r="E1" s="901"/>
      <c r="F1" s="901"/>
      <c r="G1" s="901"/>
      <c r="H1" s="901"/>
      <c r="I1" s="901"/>
      <c r="J1" s="901"/>
    </row>
    <row r="2" spans="1:10" ht="20.25" customHeight="1">
      <c r="A2" s="910" t="s">
        <v>110</v>
      </c>
      <c r="B2" s="910" t="s">
        <v>73</v>
      </c>
      <c r="C2" s="910" t="s">
        <v>74</v>
      </c>
      <c r="D2" s="906" t="s">
        <v>75</v>
      </c>
      <c r="E2" s="895" t="s">
        <v>182</v>
      </c>
      <c r="F2" s="903" t="s">
        <v>507</v>
      </c>
      <c r="G2" s="880" t="s">
        <v>569</v>
      </c>
      <c r="H2" s="880" t="s">
        <v>515</v>
      </c>
      <c r="I2" s="902" t="s">
        <v>504</v>
      </c>
      <c r="J2" s="880" t="s">
        <v>503</v>
      </c>
    </row>
    <row r="3" spans="1:10" s="7" customFormat="1" ht="63.75" customHeight="1">
      <c r="A3" s="890"/>
      <c r="B3" s="890"/>
      <c r="C3" s="890"/>
      <c r="D3" s="907"/>
      <c r="E3" s="905"/>
      <c r="F3" s="904"/>
      <c r="G3" s="880"/>
      <c r="H3" s="880"/>
      <c r="I3" s="902"/>
      <c r="J3" s="880"/>
    </row>
    <row r="4" spans="1:10" s="3" customFormat="1" ht="47.25">
      <c r="A4" s="417" t="s">
        <v>59</v>
      </c>
      <c r="B4" s="418" t="s">
        <v>111</v>
      </c>
      <c r="C4" s="417" t="s">
        <v>58</v>
      </c>
      <c r="D4" s="31">
        <f>D5+D8+D12+D16+D17</f>
        <v>599.24</v>
      </c>
      <c r="E4" s="31">
        <f>E5+E8+E12+E16+E17</f>
        <v>561.65</v>
      </c>
      <c r="F4" s="31">
        <f t="shared" ref="F4" si="0">F5+F8+F12+F16+F17</f>
        <v>603.91</v>
      </c>
      <c r="G4" s="373">
        <f>G5+G8+G12+G16+G17</f>
        <v>60</v>
      </c>
      <c r="H4" s="31">
        <f t="shared" ref="H4" si="1">H5+H8+H12+H16+H17</f>
        <v>-543.6</v>
      </c>
      <c r="I4" s="335">
        <f t="shared" ref="I4:I5" si="2">G4/F4*100-100</f>
        <v>-90.06474474673378</v>
      </c>
      <c r="J4" s="550"/>
    </row>
    <row r="5" spans="1:10" s="6" customFormat="1" ht="31.5">
      <c r="A5" s="33">
        <v>1</v>
      </c>
      <c r="B5" s="34" t="s">
        <v>112</v>
      </c>
      <c r="C5" s="35" t="s">
        <v>58</v>
      </c>
      <c r="D5" s="36">
        <f>SUM(D6:D7)</f>
        <v>19.29</v>
      </c>
      <c r="E5" s="36">
        <f>SUM(E6:E7)</f>
        <v>17.87</v>
      </c>
      <c r="F5" s="36">
        <f>F6</f>
        <v>22.148</v>
      </c>
      <c r="G5" s="374">
        <f>SUM(G6:G7)</f>
        <v>0</v>
      </c>
      <c r="H5" s="36">
        <f t="shared" ref="H5" si="3">SUM(H6:H7)</f>
        <v>-22.148</v>
      </c>
      <c r="I5" s="335">
        <f t="shared" si="2"/>
        <v>-100</v>
      </c>
      <c r="J5" s="64"/>
    </row>
    <row r="6" spans="1:10" s="6" customFormat="1" ht="16.5" customHeight="1">
      <c r="A6" s="40" t="s">
        <v>9</v>
      </c>
      <c r="B6" s="34" t="s">
        <v>12</v>
      </c>
      <c r="C6" s="35" t="s">
        <v>58</v>
      </c>
      <c r="D6" s="36">
        <v>19.29</v>
      </c>
      <c r="E6" s="36">
        <v>17.87</v>
      </c>
      <c r="F6" s="585">
        <v>22.148</v>
      </c>
      <c r="G6" s="374"/>
      <c r="H6" s="586">
        <f>G6-F6</f>
        <v>-22.148</v>
      </c>
      <c r="I6" s="335">
        <f>G6/F6*100-100</f>
        <v>-100</v>
      </c>
      <c r="J6" s="115" t="s">
        <v>579</v>
      </c>
    </row>
    <row r="7" spans="1:10" s="6" customFormat="1" ht="12.75" hidden="1" customHeight="1">
      <c r="A7" s="40" t="s">
        <v>11</v>
      </c>
      <c r="B7" s="34" t="s">
        <v>10</v>
      </c>
      <c r="C7" s="35" t="s">
        <v>58</v>
      </c>
      <c r="D7" s="36">
        <v>0</v>
      </c>
      <c r="E7" s="36">
        <v>0</v>
      </c>
      <c r="F7" s="585" t="e">
        <f>#REF!</f>
        <v>#REF!</v>
      </c>
      <c r="G7" s="374"/>
      <c r="H7" s="64"/>
      <c r="I7" s="335" t="e">
        <f t="shared" ref="I7:I27" si="4">G7/F7*100-100</f>
        <v>#REF!</v>
      </c>
      <c r="J7" s="115" t="s">
        <v>573</v>
      </c>
    </row>
    <row r="8" spans="1:10" s="6" customFormat="1" ht="31.5">
      <c r="A8" s="55">
        <v>2</v>
      </c>
      <c r="B8" s="34" t="s">
        <v>113</v>
      </c>
      <c r="C8" s="35" t="s">
        <v>58</v>
      </c>
      <c r="D8" s="36">
        <f t="shared" ref="D8:H8" si="5">SUM(D9:D11)</f>
        <v>259.02999999999997</v>
      </c>
      <c r="E8" s="36">
        <f t="shared" si="5"/>
        <v>246.09</v>
      </c>
      <c r="F8" s="36">
        <f t="shared" si="5"/>
        <v>246.08799999999999</v>
      </c>
      <c r="G8" s="374">
        <f t="shared" si="5"/>
        <v>0</v>
      </c>
      <c r="H8" s="36">
        <f t="shared" si="5"/>
        <v>-246.08799999999999</v>
      </c>
      <c r="I8" s="335">
        <f t="shared" si="4"/>
        <v>-100</v>
      </c>
      <c r="J8" s="115"/>
    </row>
    <row r="9" spans="1:10" s="6" customFormat="1" ht="17.25" customHeight="1">
      <c r="A9" s="35" t="s">
        <v>19</v>
      </c>
      <c r="B9" s="34" t="s">
        <v>79</v>
      </c>
      <c r="C9" s="35" t="s">
        <v>58</v>
      </c>
      <c r="D9" s="36">
        <v>237.17</v>
      </c>
      <c r="E9" s="36">
        <v>223.92</v>
      </c>
      <c r="F9" s="585">
        <v>223.92</v>
      </c>
      <c r="G9" s="374"/>
      <c r="H9" s="586">
        <f>G9-F9</f>
        <v>-223.92</v>
      </c>
      <c r="I9" s="335">
        <f t="shared" si="4"/>
        <v>-100</v>
      </c>
      <c r="J9" s="115" t="s">
        <v>579</v>
      </c>
    </row>
    <row r="10" spans="1:10" s="6" customFormat="1" ht="17.25" customHeight="1">
      <c r="A10" s="35" t="s">
        <v>21</v>
      </c>
      <c r="B10" s="34" t="s">
        <v>22</v>
      </c>
      <c r="C10" s="35" t="s">
        <v>58</v>
      </c>
      <c r="D10" s="36">
        <v>11.92</v>
      </c>
      <c r="E10" s="36">
        <f>ROUND((E9-10%*E9)*6%,2)</f>
        <v>12.09</v>
      </c>
      <c r="F10" s="585">
        <v>12.092000000000001</v>
      </c>
      <c r="G10" s="374"/>
      <c r="H10" s="586">
        <f t="shared" ref="H10:H11" si="6">G10-F10</f>
        <v>-12.092000000000001</v>
      </c>
      <c r="I10" s="335">
        <f t="shared" si="4"/>
        <v>-100</v>
      </c>
      <c r="J10" s="115" t="s">
        <v>579</v>
      </c>
    </row>
    <row r="11" spans="1:10" s="6" customFormat="1" ht="17.25" customHeight="1">
      <c r="A11" s="35" t="s">
        <v>23</v>
      </c>
      <c r="B11" s="39" t="s">
        <v>46</v>
      </c>
      <c r="C11" s="35" t="s">
        <v>58</v>
      </c>
      <c r="D11" s="36">
        <v>9.94</v>
      </c>
      <c r="E11" s="36">
        <f>ROUND((E9-10%*E9)*5%,2)</f>
        <v>10.08</v>
      </c>
      <c r="F11" s="585">
        <v>10.076000000000001</v>
      </c>
      <c r="G11" s="374"/>
      <c r="H11" s="586">
        <f t="shared" si="6"/>
        <v>-10.076000000000001</v>
      </c>
      <c r="I11" s="335">
        <f t="shared" si="4"/>
        <v>-100</v>
      </c>
      <c r="J11" s="115" t="s">
        <v>579</v>
      </c>
    </row>
    <row r="12" spans="1:10" s="6" customFormat="1" ht="15.75">
      <c r="A12" s="33">
        <v>3</v>
      </c>
      <c r="B12" s="34" t="s">
        <v>81</v>
      </c>
      <c r="C12" s="35" t="s">
        <v>58</v>
      </c>
      <c r="D12" s="36">
        <f t="shared" ref="D12:H12" si="7">SUM(D13:D14)</f>
        <v>31.28</v>
      </c>
      <c r="E12" s="36">
        <f t="shared" si="7"/>
        <v>0.31</v>
      </c>
      <c r="F12" s="36">
        <f>F14</f>
        <v>0.31</v>
      </c>
      <c r="G12" s="374">
        <f t="shared" si="7"/>
        <v>0</v>
      </c>
      <c r="H12" s="36">
        <f t="shared" si="7"/>
        <v>0</v>
      </c>
      <c r="I12" s="335">
        <f t="shared" si="4"/>
        <v>-100</v>
      </c>
      <c r="J12" s="64"/>
    </row>
    <row r="13" spans="1:10" s="6" customFormat="1" ht="15.75" hidden="1">
      <c r="A13" s="40" t="s">
        <v>114</v>
      </c>
      <c r="B13" s="34" t="s">
        <v>32</v>
      </c>
      <c r="C13" s="35" t="s">
        <v>58</v>
      </c>
      <c r="D13" s="36">
        <v>31.28</v>
      </c>
      <c r="E13" s="36"/>
      <c r="F13" s="585" t="e">
        <f>#REF!</f>
        <v>#REF!</v>
      </c>
      <c r="G13" s="374"/>
      <c r="H13" s="586"/>
      <c r="I13" s="335" t="e">
        <f t="shared" si="4"/>
        <v>#REF!</v>
      </c>
      <c r="J13" s="64"/>
    </row>
    <row r="14" spans="1:10" s="6" customFormat="1" ht="15.75">
      <c r="A14" s="40" t="s">
        <v>114</v>
      </c>
      <c r="B14" s="34" t="s">
        <v>56</v>
      </c>
      <c r="C14" s="35" t="s">
        <v>58</v>
      </c>
      <c r="D14" s="36">
        <f>D15</f>
        <v>0</v>
      </c>
      <c r="E14" s="36">
        <f t="shared" ref="E14:H14" si="8">E15</f>
        <v>0.31</v>
      </c>
      <c r="F14" s="36">
        <f>F15</f>
        <v>0.31</v>
      </c>
      <c r="G14" s="374"/>
      <c r="H14" s="36">
        <f t="shared" si="8"/>
        <v>0</v>
      </c>
      <c r="I14" s="335">
        <f t="shared" si="4"/>
        <v>-100</v>
      </c>
      <c r="J14" s="64" t="s">
        <v>579</v>
      </c>
    </row>
    <row r="15" spans="1:10" s="6" customFormat="1" ht="47.25" hidden="1">
      <c r="A15" s="40" t="s">
        <v>149</v>
      </c>
      <c r="B15" s="34" t="s">
        <v>145</v>
      </c>
      <c r="C15" s="35" t="s">
        <v>58</v>
      </c>
      <c r="D15" s="36"/>
      <c r="E15" s="36">
        <v>0.31</v>
      </c>
      <c r="F15" s="585">
        <v>0.31</v>
      </c>
      <c r="G15" s="374">
        <v>0.31</v>
      </c>
      <c r="H15" s="586">
        <f>G15-F15</f>
        <v>0</v>
      </c>
      <c r="I15" s="335">
        <f t="shared" si="4"/>
        <v>0</v>
      </c>
      <c r="J15" s="64" t="s">
        <v>579</v>
      </c>
    </row>
    <row r="16" spans="1:10" s="6" customFormat="1" ht="15.75">
      <c r="A16" s="33">
        <v>4</v>
      </c>
      <c r="B16" s="34" t="s">
        <v>80</v>
      </c>
      <c r="C16" s="35" t="s">
        <v>58</v>
      </c>
      <c r="D16" s="36">
        <v>180</v>
      </c>
      <c r="E16" s="36">
        <v>180</v>
      </c>
      <c r="F16" s="585">
        <v>180</v>
      </c>
      <c r="G16" s="374">
        <v>60</v>
      </c>
      <c r="H16" s="586">
        <f>G16-F16</f>
        <v>-120</v>
      </c>
      <c r="I16" s="335">
        <f t="shared" si="4"/>
        <v>-66.666666666666671</v>
      </c>
      <c r="J16" s="64" t="s">
        <v>579</v>
      </c>
    </row>
    <row r="17" spans="1:10" s="6" customFormat="1" ht="15.75">
      <c r="A17" s="33">
        <v>5</v>
      </c>
      <c r="B17" s="34" t="s">
        <v>115</v>
      </c>
      <c r="C17" s="35" t="s">
        <v>58</v>
      </c>
      <c r="D17" s="36">
        <f>D18</f>
        <v>109.64</v>
      </c>
      <c r="E17" s="36">
        <f t="shared" ref="E17:H17" si="9">E18</f>
        <v>117.38</v>
      </c>
      <c r="F17" s="36">
        <f t="shared" ref="F17" si="10">F18</f>
        <v>155.364</v>
      </c>
      <c r="G17" s="374">
        <f t="shared" si="9"/>
        <v>0</v>
      </c>
      <c r="H17" s="36">
        <f t="shared" si="9"/>
        <v>-155.364</v>
      </c>
      <c r="I17" s="335">
        <f t="shared" si="4"/>
        <v>-100</v>
      </c>
      <c r="J17" s="64"/>
    </row>
    <row r="18" spans="1:10" s="6" customFormat="1" ht="15.75">
      <c r="A18" s="40" t="s">
        <v>29</v>
      </c>
      <c r="B18" s="34" t="s">
        <v>27</v>
      </c>
      <c r="C18" s="35" t="s">
        <v>58</v>
      </c>
      <c r="D18" s="36">
        <v>109.64</v>
      </c>
      <c r="E18" s="36">
        <f>109.64+7.74</f>
        <v>117.38</v>
      </c>
      <c r="F18" s="585">
        <v>155.364</v>
      </c>
      <c r="G18" s="374"/>
      <c r="H18" s="586">
        <f>G18-F18</f>
        <v>-155.364</v>
      </c>
      <c r="I18" s="335">
        <f t="shared" si="4"/>
        <v>-100</v>
      </c>
      <c r="J18" s="64" t="s">
        <v>579</v>
      </c>
    </row>
    <row r="19" spans="1:10" s="6" customFormat="1" ht="15.75">
      <c r="A19" s="417" t="s">
        <v>82</v>
      </c>
      <c r="B19" s="418" t="s">
        <v>83</v>
      </c>
      <c r="C19" s="417" t="s">
        <v>58</v>
      </c>
      <c r="D19" s="31">
        <f t="shared" ref="D19:H19" si="11">D20</f>
        <v>120.38999999999999</v>
      </c>
      <c r="E19" s="31" t="e">
        <f t="shared" si="11"/>
        <v>#REF!</v>
      </c>
      <c r="F19" s="31">
        <f>F20</f>
        <v>101.946</v>
      </c>
      <c r="G19" s="373">
        <f t="shared" si="11"/>
        <v>0.1</v>
      </c>
      <c r="H19" s="31">
        <f t="shared" si="11"/>
        <v>-101.846</v>
      </c>
      <c r="I19" s="335">
        <f t="shared" si="4"/>
        <v>-99.901908853706871</v>
      </c>
      <c r="J19" s="64"/>
    </row>
    <row r="20" spans="1:10" s="6" customFormat="1" ht="31.5">
      <c r="A20" s="33">
        <v>6</v>
      </c>
      <c r="B20" s="34" t="s">
        <v>594</v>
      </c>
      <c r="C20" s="35" t="s">
        <v>58</v>
      </c>
      <c r="D20" s="36">
        <f>SUM(D21:D22)+SUM(D24:D25)</f>
        <v>120.38999999999999</v>
      </c>
      <c r="E20" s="36" t="e">
        <f>SUM(E21:E22)+SUM(E24:E25)</f>
        <v>#REF!</v>
      </c>
      <c r="F20" s="36">
        <f>SUM(F21:F22)+SUM(F24:F25)</f>
        <v>101.946</v>
      </c>
      <c r="G20" s="36">
        <f t="shared" ref="G20:H20" si="12">SUM(G21:G22)+SUM(G24:G25)</f>
        <v>0.1</v>
      </c>
      <c r="H20" s="36">
        <f t="shared" si="12"/>
        <v>-101.846</v>
      </c>
      <c r="I20" s="335">
        <f t="shared" si="4"/>
        <v>-99.901908853706871</v>
      </c>
      <c r="J20" s="64"/>
    </row>
    <row r="21" spans="1:10" s="6" customFormat="1" ht="15.75">
      <c r="A21" s="40" t="s">
        <v>44</v>
      </c>
      <c r="B21" s="34" t="s">
        <v>85</v>
      </c>
      <c r="C21" s="35" t="s">
        <v>58</v>
      </c>
      <c r="D21" s="36">
        <v>17.91</v>
      </c>
      <c r="E21" s="36">
        <v>16.59</v>
      </c>
      <c r="F21" s="585">
        <v>0.39</v>
      </c>
      <c r="G21" s="374">
        <v>0.1</v>
      </c>
      <c r="H21" s="586">
        <f>G21-F21</f>
        <v>-0.29000000000000004</v>
      </c>
      <c r="I21" s="335">
        <f t="shared" si="4"/>
        <v>-74.358974358974351</v>
      </c>
      <c r="J21" s="64" t="s">
        <v>579</v>
      </c>
    </row>
    <row r="22" spans="1:10" s="6" customFormat="1" ht="15.75">
      <c r="A22" s="40" t="s">
        <v>47</v>
      </c>
      <c r="B22" s="34" t="s">
        <v>56</v>
      </c>
      <c r="C22" s="35" t="s">
        <v>58</v>
      </c>
      <c r="D22" s="42">
        <f>D23</f>
        <v>0</v>
      </c>
      <c r="E22" s="42">
        <f t="shared" ref="E22:H22" si="13">E23</f>
        <v>0</v>
      </c>
      <c r="F22" s="42">
        <f>F23</f>
        <v>0.36</v>
      </c>
      <c r="G22" s="375"/>
      <c r="H22" s="42">
        <f t="shared" si="13"/>
        <v>-0.36</v>
      </c>
      <c r="I22" s="335">
        <f t="shared" si="4"/>
        <v>-100</v>
      </c>
      <c r="J22" s="64" t="s">
        <v>579</v>
      </c>
    </row>
    <row r="23" spans="1:10" s="6" customFormat="1" ht="15.75" hidden="1">
      <c r="A23" s="40" t="s">
        <v>168</v>
      </c>
      <c r="B23" s="41" t="s">
        <v>189</v>
      </c>
      <c r="C23" s="35" t="s">
        <v>58</v>
      </c>
      <c r="D23" s="42"/>
      <c r="E23" s="42"/>
      <c r="F23" s="37">
        <v>0.36</v>
      </c>
      <c r="G23" s="375"/>
      <c r="H23" s="586">
        <f>G23-F23</f>
        <v>-0.36</v>
      </c>
      <c r="I23" s="335">
        <f t="shared" si="4"/>
        <v>-100</v>
      </c>
      <c r="J23" s="64" t="s">
        <v>579</v>
      </c>
    </row>
    <row r="24" spans="1:10" ht="15.75">
      <c r="A24" s="40" t="s">
        <v>48</v>
      </c>
      <c r="B24" s="34" t="s">
        <v>55</v>
      </c>
      <c r="C24" s="35" t="s">
        <v>58</v>
      </c>
      <c r="D24" s="36">
        <v>83.08</v>
      </c>
      <c r="E24" s="36">
        <v>83.08</v>
      </c>
      <c r="F24" s="37">
        <v>83.08</v>
      </c>
      <c r="G24" s="587"/>
      <c r="H24" s="586">
        <f>G24-F24</f>
        <v>-83.08</v>
      </c>
      <c r="I24" s="335">
        <f t="shared" si="4"/>
        <v>-100</v>
      </c>
      <c r="J24" s="64" t="s">
        <v>579</v>
      </c>
    </row>
    <row r="25" spans="1:10" ht="15.75">
      <c r="A25" s="40" t="s">
        <v>49</v>
      </c>
      <c r="B25" s="34" t="s">
        <v>116</v>
      </c>
      <c r="C25" s="35"/>
      <c r="D25" s="36">
        <f t="shared" ref="D25:H25" si="14">D26</f>
        <v>19.399999999999999</v>
      </c>
      <c r="E25" s="36" t="e">
        <f t="shared" si="14"/>
        <v>#REF!</v>
      </c>
      <c r="F25" s="36">
        <f t="shared" si="14"/>
        <v>18.116</v>
      </c>
      <c r="G25" s="374">
        <f t="shared" si="14"/>
        <v>0</v>
      </c>
      <c r="H25" s="36">
        <f t="shared" si="14"/>
        <v>-18.116</v>
      </c>
      <c r="I25" s="335">
        <f t="shared" si="4"/>
        <v>-100</v>
      </c>
      <c r="J25" s="64"/>
    </row>
    <row r="26" spans="1:10" ht="31.5">
      <c r="A26" s="40" t="s">
        <v>50</v>
      </c>
      <c r="B26" s="34" t="s">
        <v>117</v>
      </c>
      <c r="C26" s="35" t="s">
        <v>58</v>
      </c>
      <c r="D26" s="36">
        <v>19.399999999999999</v>
      </c>
      <c r="E26" s="36" t="e">
        <f>ROUND(D26*#REF!,2)</f>
        <v>#REF!</v>
      </c>
      <c r="F26" s="37">
        <v>18.116</v>
      </c>
      <c r="G26" s="374"/>
      <c r="H26" s="588">
        <f>G26-F26</f>
        <v>-18.116</v>
      </c>
      <c r="I26" s="335">
        <f t="shared" si="4"/>
        <v>-100</v>
      </c>
      <c r="J26" s="118" t="s">
        <v>579</v>
      </c>
    </row>
    <row r="27" spans="1:10" s="3" customFormat="1" ht="20.25" customHeight="1">
      <c r="A27" s="417" t="s">
        <v>61</v>
      </c>
      <c r="B27" s="418" t="s">
        <v>60</v>
      </c>
      <c r="C27" s="417" t="s">
        <v>58</v>
      </c>
      <c r="D27" s="31">
        <f t="shared" ref="D27:H27" si="15">D4+D19</f>
        <v>719.63</v>
      </c>
      <c r="E27" s="31" t="e">
        <f t="shared" si="15"/>
        <v>#REF!</v>
      </c>
      <c r="F27" s="31">
        <f t="shared" si="15"/>
        <v>705.85599999999999</v>
      </c>
      <c r="G27" s="373">
        <f t="shared" si="15"/>
        <v>60.1</v>
      </c>
      <c r="H27" s="31">
        <f t="shared" si="15"/>
        <v>-645.44600000000003</v>
      </c>
      <c r="I27" s="335">
        <f t="shared" si="4"/>
        <v>-91.485515459243814</v>
      </c>
      <c r="J27" s="550"/>
    </row>
    <row r="28" spans="1:10" ht="17.25" customHeight="1">
      <c r="A28" s="417" t="s">
        <v>63</v>
      </c>
      <c r="B28" s="418" t="s">
        <v>88</v>
      </c>
      <c r="C28" s="417" t="s">
        <v>58</v>
      </c>
      <c r="D28" s="31">
        <f t="shared" ref="D28:G28" si="16">+D29-D27</f>
        <v>42.272550000000024</v>
      </c>
      <c r="E28" s="31" t="e">
        <f t="shared" si="16"/>
        <v>#REF!</v>
      </c>
      <c r="F28" s="32">
        <f t="shared" si="16"/>
        <v>4.7200000005886977E-4</v>
      </c>
      <c r="G28" s="373">
        <f t="shared" si="16"/>
        <v>-60.1</v>
      </c>
      <c r="H28" s="548"/>
      <c r="I28" s="589"/>
      <c r="J28" s="118"/>
    </row>
    <row r="29" spans="1:10" ht="17.25" customHeight="1">
      <c r="A29" s="417" t="s">
        <v>65</v>
      </c>
      <c r="B29" s="418" t="s">
        <v>62</v>
      </c>
      <c r="C29" s="417" t="s">
        <v>58</v>
      </c>
      <c r="D29" s="31">
        <f t="shared" ref="D29:G29" si="17">D35</f>
        <v>761.90255000000002</v>
      </c>
      <c r="E29" s="31" t="e">
        <f t="shared" si="17"/>
        <v>#REF!</v>
      </c>
      <c r="F29" s="31">
        <v>705.85647200000005</v>
      </c>
      <c r="G29" s="373">
        <f t="shared" si="17"/>
        <v>0</v>
      </c>
      <c r="H29" s="548"/>
      <c r="I29" s="589"/>
      <c r="J29" s="118"/>
    </row>
    <row r="30" spans="1:10" ht="31.5" hidden="1">
      <c r="A30" s="417"/>
      <c r="B30" s="418" t="s">
        <v>89</v>
      </c>
      <c r="C30" s="35" t="s">
        <v>58</v>
      </c>
      <c r="D30" s="31"/>
      <c r="E30" s="31"/>
      <c r="F30" s="590"/>
      <c r="G30" s="373"/>
      <c r="H30" s="548"/>
      <c r="I30" s="589"/>
      <c r="J30" s="118"/>
    </row>
    <row r="31" spans="1:10" ht="31.5" hidden="1">
      <c r="A31" s="417"/>
      <c r="B31" s="418" t="s">
        <v>90</v>
      </c>
      <c r="C31" s="35" t="s">
        <v>58</v>
      </c>
      <c r="D31" s="31"/>
      <c r="E31" s="31"/>
      <c r="F31" s="590"/>
      <c r="G31" s="373"/>
      <c r="H31" s="548"/>
      <c r="I31" s="589"/>
      <c r="J31" s="118"/>
    </row>
    <row r="32" spans="1:10" ht="15.75">
      <c r="A32" s="908" t="s">
        <v>68</v>
      </c>
      <c r="B32" s="909" t="s">
        <v>64</v>
      </c>
      <c r="C32" s="417" t="s">
        <v>91</v>
      </c>
      <c r="D32" s="591">
        <v>1919.15</v>
      </c>
      <c r="E32" s="591" t="e">
        <f>#REF!</f>
        <v>#REF!</v>
      </c>
      <c r="F32" s="592">
        <v>1777.9760000000001</v>
      </c>
      <c r="G32" s="593"/>
      <c r="H32" s="594"/>
      <c r="I32" s="595"/>
      <c r="J32" s="118"/>
    </row>
    <row r="33" spans="1:10" ht="15.75" hidden="1">
      <c r="A33" s="908"/>
      <c r="B33" s="909"/>
      <c r="C33" s="417" t="s">
        <v>97</v>
      </c>
      <c r="D33" s="591"/>
      <c r="E33" s="591"/>
      <c r="F33" s="592"/>
      <c r="G33" s="593"/>
      <c r="H33" s="594"/>
      <c r="I33" s="595"/>
      <c r="J33" s="118"/>
    </row>
    <row r="34" spans="1:10" ht="15.75" hidden="1">
      <c r="A34" s="908"/>
      <c r="B34" s="909"/>
      <c r="C34" s="417" t="s">
        <v>97</v>
      </c>
      <c r="D34" s="591"/>
      <c r="E34" s="591"/>
      <c r="F34" s="592"/>
      <c r="G34" s="593"/>
      <c r="H34" s="594"/>
      <c r="I34" s="595"/>
      <c r="J34" s="118"/>
    </row>
    <row r="35" spans="1:10" s="4" customFormat="1" ht="15.75">
      <c r="A35" s="908"/>
      <c r="B35" s="909"/>
      <c r="C35" s="417" t="s">
        <v>58</v>
      </c>
      <c r="D35" s="591">
        <f>D32*D38</f>
        <v>761.90255000000002</v>
      </c>
      <c r="E35" s="591" t="e">
        <f>#REF!</f>
        <v>#REF!</v>
      </c>
      <c r="F35" s="592">
        <v>705.85647200000005</v>
      </c>
      <c r="G35" s="593"/>
      <c r="H35" s="594"/>
      <c r="I35" s="595"/>
      <c r="J35" s="96"/>
    </row>
    <row r="36" spans="1:10" s="3" customFormat="1" ht="15.75">
      <c r="A36" s="908" t="s">
        <v>69</v>
      </c>
      <c r="B36" s="909" t="s">
        <v>96</v>
      </c>
      <c r="C36" s="417" t="s">
        <v>67</v>
      </c>
      <c r="D36" s="596">
        <v>9</v>
      </c>
      <c r="E36" s="596">
        <v>9</v>
      </c>
      <c r="F36" s="597">
        <v>9</v>
      </c>
      <c r="G36" s="598"/>
      <c r="H36" s="599"/>
      <c r="I36" s="600"/>
      <c r="J36" s="550"/>
    </row>
    <row r="37" spans="1:10" ht="15.75">
      <c r="A37" s="908"/>
      <c r="B37" s="909"/>
      <c r="C37" s="417" t="s">
        <v>97</v>
      </c>
      <c r="D37" s="591">
        <f>ROUND((D32/0.91)-D32,2)</f>
        <v>189.81</v>
      </c>
      <c r="E37" s="591" t="e">
        <f>ROUND((E32/0.91)-E32,2)</f>
        <v>#REF!</v>
      </c>
      <c r="F37" s="592">
        <v>175.84399999999999</v>
      </c>
      <c r="G37" s="601"/>
      <c r="H37" s="594"/>
      <c r="I37" s="595"/>
      <c r="J37" s="118"/>
    </row>
    <row r="38" spans="1:10" ht="24" customHeight="1">
      <c r="A38" s="417" t="s">
        <v>98</v>
      </c>
      <c r="B38" s="418" t="s">
        <v>70</v>
      </c>
      <c r="C38" s="417" t="s">
        <v>99</v>
      </c>
      <c r="D38" s="32">
        <v>0.39700000000000002</v>
      </c>
      <c r="E38" s="32" t="s">
        <v>179</v>
      </c>
      <c r="F38" s="325">
        <v>0.39700000000000002</v>
      </c>
      <c r="G38" s="377">
        <v>0.39700000000000002</v>
      </c>
      <c r="H38" s="602"/>
      <c r="I38" s="589"/>
      <c r="J38" s="118"/>
    </row>
    <row r="39" spans="1:10" ht="16.5" customHeight="1">
      <c r="A39" s="417"/>
      <c r="B39" s="418" t="s">
        <v>100</v>
      </c>
      <c r="C39" s="417"/>
      <c r="D39" s="32"/>
      <c r="E39" s="32"/>
      <c r="F39" s="43"/>
      <c r="G39" s="377"/>
      <c r="H39" s="602"/>
      <c r="I39" s="589"/>
      <c r="J39" s="118"/>
    </row>
    <row r="40" spans="1:10" ht="31.5">
      <c r="A40" s="51"/>
      <c r="B40" s="52" t="s">
        <v>101</v>
      </c>
      <c r="C40" s="50" t="s">
        <v>102</v>
      </c>
      <c r="D40" s="603">
        <f>+D41</f>
        <v>1</v>
      </c>
      <c r="E40" s="603">
        <f>+E41</f>
        <v>1</v>
      </c>
      <c r="F40" s="604">
        <f>D40</f>
        <v>1</v>
      </c>
      <c r="G40" s="605">
        <f>+G41</f>
        <v>1</v>
      </c>
      <c r="H40" s="579"/>
      <c r="I40" s="579"/>
      <c r="J40" s="118"/>
    </row>
    <row r="41" spans="1:10" ht="18" customHeight="1">
      <c r="A41" s="51"/>
      <c r="B41" s="54" t="s">
        <v>103</v>
      </c>
      <c r="C41" s="55" t="s">
        <v>102</v>
      </c>
      <c r="D41" s="603">
        <v>1</v>
      </c>
      <c r="E41" s="603">
        <v>1</v>
      </c>
      <c r="F41" s="606">
        <f>D41</f>
        <v>1</v>
      </c>
      <c r="G41" s="607">
        <v>1</v>
      </c>
      <c r="H41" s="579"/>
      <c r="I41" s="579"/>
      <c r="J41" s="118"/>
    </row>
    <row r="42" spans="1:10" s="3" customFormat="1" ht="15.75">
      <c r="A42" s="51"/>
      <c r="B42" s="52" t="s">
        <v>104</v>
      </c>
      <c r="C42" s="50" t="s">
        <v>105</v>
      </c>
      <c r="D42" s="57">
        <f>D43</f>
        <v>55980</v>
      </c>
      <c r="E42" s="57">
        <f t="shared" ref="E42:G42" si="18">E43</f>
        <v>55980</v>
      </c>
      <c r="F42" s="604">
        <f>D42</f>
        <v>55980</v>
      </c>
      <c r="G42" s="380">
        <f t="shared" si="18"/>
        <v>55980</v>
      </c>
      <c r="H42" s="608"/>
      <c r="I42" s="608"/>
      <c r="J42" s="550"/>
    </row>
    <row r="43" spans="1:10" s="3" customFormat="1" ht="15.75">
      <c r="A43" s="51"/>
      <c r="B43" s="54" t="s">
        <v>103</v>
      </c>
      <c r="C43" s="55" t="s">
        <v>105</v>
      </c>
      <c r="D43" s="58">
        <v>55980</v>
      </c>
      <c r="E43" s="58">
        <v>55980</v>
      </c>
      <c r="F43" s="606">
        <f>D43</f>
        <v>55980</v>
      </c>
      <c r="G43" s="381">
        <v>55980</v>
      </c>
      <c r="H43" s="609"/>
      <c r="I43" s="609"/>
      <c r="J43" s="550"/>
    </row>
    <row r="44" spans="1:10" s="3" customFormat="1" ht="15.75">
      <c r="A44" s="59"/>
      <c r="B44" s="60"/>
      <c r="C44" s="61"/>
      <c r="D44" s="62"/>
      <c r="E44" s="62"/>
      <c r="F44" s="610"/>
      <c r="G44" s="382"/>
      <c r="H44" s="382"/>
      <c r="I44" s="382"/>
      <c r="J44" s="611"/>
    </row>
    <row r="45" spans="1:10" s="3" customFormat="1" ht="15.75">
      <c r="A45" s="59"/>
      <c r="B45" s="60"/>
      <c r="C45" s="61"/>
      <c r="D45" s="62"/>
      <c r="E45" s="62"/>
      <c r="F45" s="610"/>
      <c r="G45" s="382"/>
      <c r="H45" s="382"/>
      <c r="I45" s="382"/>
      <c r="J45" s="611"/>
    </row>
    <row r="46" spans="1:10" ht="31.5" hidden="1">
      <c r="A46" s="66">
        <v>1</v>
      </c>
      <c r="B46" s="67" t="s">
        <v>186</v>
      </c>
      <c r="C46" s="68">
        <f>192.629+284.619+260.841</f>
        <v>738.08900000000006</v>
      </c>
      <c r="D46" s="69">
        <v>0.36099999999999999</v>
      </c>
      <c r="E46" s="119"/>
      <c r="F46" s="119"/>
      <c r="G46" s="612">
        <f>D47-D46</f>
        <v>3.6000000000000032E-2</v>
      </c>
      <c r="H46" s="65"/>
      <c r="I46" s="613"/>
      <c r="J46" s="65"/>
    </row>
    <row r="47" spans="1:10" ht="31.5" hidden="1">
      <c r="A47" s="66">
        <v>2</v>
      </c>
      <c r="B47" s="67" t="s">
        <v>184</v>
      </c>
      <c r="C47" s="70">
        <f>557.885+389.839+92.163</f>
        <v>1039.8869999999999</v>
      </c>
      <c r="D47" s="69">
        <v>0.39700000000000002</v>
      </c>
      <c r="E47" s="68"/>
      <c r="F47" s="68"/>
      <c r="G47" s="383"/>
      <c r="H47" s="65"/>
      <c r="I47" s="613"/>
      <c r="J47" s="65"/>
    </row>
    <row r="48" spans="1:10" ht="15.75" hidden="1">
      <c r="A48" s="96"/>
      <c r="B48" s="422"/>
      <c r="C48" s="72">
        <f>SUM(C46:C47)</f>
        <v>1777.9760000000001</v>
      </c>
      <c r="D48" s="73"/>
      <c r="E48" s="72"/>
      <c r="F48" s="72"/>
      <c r="G48" s="384"/>
      <c r="H48" s="65"/>
      <c r="I48" s="613"/>
      <c r="J48" s="65"/>
    </row>
    <row r="49" spans="1:10" ht="15.75">
      <c r="A49" s="74"/>
      <c r="B49" s="74"/>
      <c r="C49" s="74"/>
      <c r="D49" s="74"/>
      <c r="E49" s="74"/>
      <c r="F49" s="74"/>
      <c r="G49" s="385"/>
      <c r="H49" s="65"/>
      <c r="I49" s="613"/>
      <c r="J49" s="65"/>
    </row>
    <row r="50" spans="1:10" ht="15.75">
      <c r="A50" s="760" t="s">
        <v>517</v>
      </c>
      <c r="C50" s="859"/>
      <c r="D50" s="859"/>
      <c r="E50" s="859"/>
      <c r="F50" s="859"/>
      <c r="G50" s="860"/>
      <c r="H50" s="65"/>
      <c r="I50" s="614" t="s">
        <v>304</v>
      </c>
      <c r="J50" s="65"/>
    </row>
    <row r="51" spans="1:10" ht="15.75">
      <c r="A51" s="760"/>
      <c r="C51" s="859"/>
      <c r="D51" s="859"/>
      <c r="E51" s="859"/>
      <c r="F51" s="859"/>
      <c r="G51" s="860"/>
      <c r="H51" s="65"/>
      <c r="I51" s="614"/>
      <c r="J51" s="65"/>
    </row>
    <row r="52" spans="1:10" ht="15.75">
      <c r="A52" s="760" t="s">
        <v>71</v>
      </c>
      <c r="C52" s="859"/>
      <c r="D52" s="859"/>
      <c r="E52" s="859"/>
      <c r="F52" s="859"/>
      <c r="G52" s="860"/>
      <c r="H52" s="65"/>
      <c r="I52" s="614" t="s">
        <v>595</v>
      </c>
      <c r="J52" s="65"/>
    </row>
    <row r="53" spans="1:10" ht="12.75" customHeight="1">
      <c r="A53" s="859"/>
      <c r="C53" s="859"/>
      <c r="D53" s="859"/>
      <c r="E53" s="859"/>
      <c r="F53" s="859"/>
      <c r="G53" s="860"/>
      <c r="H53" s="65"/>
      <c r="I53" s="613"/>
      <c r="J53" s="65"/>
    </row>
    <row r="54" spans="1:10" s="3" customFormat="1" ht="15" hidden="1" customHeight="1">
      <c r="A54" s="760"/>
      <c r="C54" s="760"/>
      <c r="D54" s="760"/>
      <c r="E54" s="760"/>
      <c r="F54" s="760"/>
      <c r="G54" s="861"/>
      <c r="H54" s="76"/>
      <c r="I54" s="614"/>
      <c r="J54" s="76"/>
    </row>
    <row r="55" spans="1:10" s="3" customFormat="1" ht="15.75">
      <c r="A55" s="760" t="s">
        <v>72</v>
      </c>
      <c r="C55" s="760"/>
      <c r="D55" s="760"/>
      <c r="E55" s="760"/>
      <c r="F55" s="760"/>
      <c r="G55" s="861"/>
      <c r="H55" s="76"/>
      <c r="I55" s="614" t="s">
        <v>169</v>
      </c>
      <c r="J55" s="76"/>
    </row>
    <row r="56" spans="1:10" s="3" customFormat="1" ht="15.75">
      <c r="A56" s="760"/>
      <c r="C56" s="760"/>
      <c r="D56" s="760"/>
      <c r="E56" s="760"/>
      <c r="F56" s="760"/>
      <c r="G56" s="861"/>
      <c r="H56" s="76"/>
      <c r="I56" s="614"/>
      <c r="J56" s="76"/>
    </row>
    <row r="57" spans="1:10" s="3" customFormat="1" ht="15.75">
      <c r="A57" s="760" t="s">
        <v>589</v>
      </c>
      <c r="C57" s="760"/>
      <c r="D57" s="760"/>
      <c r="E57" s="760"/>
      <c r="F57" s="760"/>
      <c r="G57" s="861"/>
      <c r="H57" s="76"/>
      <c r="I57" s="614" t="s">
        <v>590</v>
      </c>
      <c r="J57" s="76"/>
    </row>
    <row r="58" spans="1:10" s="3" customFormat="1" ht="15.75">
      <c r="A58" s="76"/>
      <c r="B58" s="76"/>
      <c r="C58" s="76"/>
      <c r="D58" s="76"/>
      <c r="E58" s="76"/>
      <c r="F58" s="76"/>
      <c r="G58" s="386"/>
      <c r="H58" s="76"/>
      <c r="I58" s="614"/>
      <c r="J58" s="76"/>
    </row>
    <row r="59" spans="1:10" s="3" customFormat="1" ht="15.75">
      <c r="A59" s="76"/>
      <c r="B59" s="76"/>
      <c r="C59" s="76"/>
      <c r="D59" s="76"/>
      <c r="E59" s="76"/>
      <c r="F59" s="76"/>
      <c r="G59" s="386"/>
      <c r="H59" s="76"/>
      <c r="I59" s="614"/>
      <c r="J59" s="76"/>
    </row>
    <row r="60" spans="1:10" s="3" customFormat="1" ht="15.75">
      <c r="A60" s="76" t="s">
        <v>108</v>
      </c>
      <c r="B60" s="76" t="s">
        <v>505</v>
      </c>
      <c r="C60" s="76"/>
      <c r="D60" s="76"/>
      <c r="E60" s="76"/>
      <c r="F60" s="76"/>
      <c r="G60" s="386"/>
      <c r="H60" s="76"/>
      <c r="I60" s="614"/>
      <c r="J60" s="76"/>
    </row>
    <row r="61" spans="1:10" ht="15.75">
      <c r="A61" s="65"/>
      <c r="B61" s="76" t="s">
        <v>109</v>
      </c>
      <c r="C61" s="65"/>
      <c r="D61" s="65"/>
      <c r="E61" s="65"/>
      <c r="F61" s="65"/>
      <c r="G61" s="385"/>
      <c r="H61" s="65"/>
      <c r="I61" s="613"/>
      <c r="J61" s="65"/>
    </row>
    <row r="62" spans="1:10" ht="15.75">
      <c r="B62" s="76" t="s">
        <v>592</v>
      </c>
    </row>
  </sheetData>
  <mergeCells count="15">
    <mergeCell ref="A36:A37"/>
    <mergeCell ref="B36:B37"/>
    <mergeCell ref="A2:A3"/>
    <mergeCell ref="B2:B3"/>
    <mergeCell ref="C2:C3"/>
    <mergeCell ref="A32:A35"/>
    <mergeCell ref="B32:B35"/>
    <mergeCell ref="G2:G3"/>
    <mergeCell ref="J2:J3"/>
    <mergeCell ref="A1:J1"/>
    <mergeCell ref="I2:I3"/>
    <mergeCell ref="F2:F3"/>
    <mergeCell ref="E2:E3"/>
    <mergeCell ref="D2:D3"/>
    <mergeCell ref="H2:H3"/>
  </mergeCells>
  <pageMargins left="0.98425196850393704" right="0.15748031496062992" top="0.94488188976377963" bottom="0.6692913385826772" header="0.23622047244094491" footer="0.19685039370078741"/>
  <pageSetup paperSize="9" scale="50" fitToHeight="0" orientation="portrait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C80"/>
  </sheetPr>
  <dimension ref="A1:M63"/>
  <sheetViews>
    <sheetView view="pageBreakPreview" zoomScale="80" zoomScaleSheetLayoutView="80" workbookViewId="0">
      <pane xSplit="2" ySplit="4" topLeftCell="C49" activePane="bottomRight" state="frozen"/>
      <selection pane="topRight" activeCell="C1" sqref="C1"/>
      <selection pane="bottomLeft" activeCell="A5" sqref="A5"/>
      <selection pane="bottomRight" activeCell="I55" sqref="I55"/>
    </sheetView>
  </sheetViews>
  <sheetFormatPr defaultColWidth="9.140625" defaultRowHeight="12.75"/>
  <cols>
    <col min="1" max="1" width="7.42578125" style="6" bestFit="1" customWidth="1"/>
    <col min="2" max="2" width="36" style="6" customWidth="1"/>
    <col min="3" max="3" width="12.28515625" style="6" customWidth="1"/>
    <col min="4" max="4" width="18.42578125" style="6" hidden="1" customWidth="1"/>
    <col min="5" max="5" width="11" style="6" hidden="1" customWidth="1"/>
    <col min="6" max="6" width="19.7109375" style="6" customWidth="1"/>
    <col min="7" max="7" width="19.5703125" style="372" customWidth="1"/>
    <col min="8" max="8" width="15.140625" style="1" customWidth="1"/>
    <col min="9" max="9" width="16.7109375" style="1" customWidth="1"/>
    <col min="10" max="10" width="40.42578125" style="1" customWidth="1"/>
    <col min="11" max="11" width="16.7109375" style="1" customWidth="1"/>
    <col min="12" max="16384" width="9.140625" style="1"/>
  </cols>
  <sheetData>
    <row r="1" spans="1:13" ht="75.75" customHeight="1">
      <c r="A1" s="911" t="s">
        <v>588</v>
      </c>
      <c r="B1" s="911"/>
      <c r="C1" s="911"/>
      <c r="D1" s="911"/>
      <c r="E1" s="911"/>
      <c r="F1" s="911"/>
      <c r="G1" s="911"/>
      <c r="H1" s="911"/>
      <c r="I1" s="911"/>
      <c r="J1" s="911"/>
      <c r="K1" s="22"/>
    </row>
    <row r="2" spans="1:13" ht="15.75">
      <c r="A2" s="74"/>
      <c r="B2" s="74"/>
      <c r="C2" s="74"/>
      <c r="D2" s="74"/>
      <c r="E2" s="74"/>
      <c r="F2" s="74"/>
      <c r="G2" s="385"/>
      <c r="H2" s="65"/>
      <c r="I2" s="65"/>
      <c r="J2" s="65"/>
    </row>
    <row r="3" spans="1:13" ht="31.5" customHeight="1">
      <c r="A3" s="910" t="s">
        <v>180</v>
      </c>
      <c r="B3" s="910" t="s">
        <v>73</v>
      </c>
      <c r="C3" s="910" t="s">
        <v>74</v>
      </c>
      <c r="D3" s="895" t="s">
        <v>75</v>
      </c>
      <c r="E3" s="895" t="s">
        <v>187</v>
      </c>
      <c r="F3" s="903" t="s">
        <v>507</v>
      </c>
      <c r="G3" s="880" t="s">
        <v>568</v>
      </c>
      <c r="H3" s="880" t="s">
        <v>515</v>
      </c>
      <c r="I3" s="880" t="s">
        <v>504</v>
      </c>
      <c r="J3" s="880" t="s">
        <v>503</v>
      </c>
      <c r="K3" s="18"/>
    </row>
    <row r="4" spans="1:13" s="2" customFormat="1" ht="51.75" customHeight="1">
      <c r="A4" s="890"/>
      <c r="B4" s="890"/>
      <c r="C4" s="890"/>
      <c r="D4" s="905"/>
      <c r="E4" s="905"/>
      <c r="F4" s="904"/>
      <c r="G4" s="880"/>
      <c r="H4" s="880"/>
      <c r="I4" s="880"/>
      <c r="J4" s="880"/>
      <c r="K4" s="18"/>
    </row>
    <row r="5" spans="1:13" s="3" customFormat="1" ht="47.25">
      <c r="A5" s="417" t="s">
        <v>59</v>
      </c>
      <c r="B5" s="418" t="s">
        <v>76</v>
      </c>
      <c r="C5" s="417" t="s">
        <v>58</v>
      </c>
      <c r="D5" s="31">
        <f t="shared" ref="D5:G5" si="0">D6+D8+D12+D13</f>
        <v>227.35</v>
      </c>
      <c r="E5" s="31">
        <f t="shared" si="0"/>
        <v>229.91</v>
      </c>
      <c r="F5" s="31">
        <f t="shared" si="0"/>
        <v>241.18</v>
      </c>
      <c r="G5" s="373">
        <f t="shared" si="0"/>
        <v>45.877000000000002</v>
      </c>
      <c r="H5" s="31">
        <f t="shared" ref="H5" si="1">H6+H8+H12+H13</f>
        <v>-195.303</v>
      </c>
      <c r="I5" s="615">
        <f t="shared" ref="I5:I7" si="2">G5/F5*100-100</f>
        <v>-80.978107637449199</v>
      </c>
      <c r="J5" s="547"/>
      <c r="K5" s="23"/>
    </row>
    <row r="6" spans="1:13" ht="31.5" hidden="1">
      <c r="A6" s="33">
        <v>1</v>
      </c>
      <c r="B6" s="34" t="s">
        <v>77</v>
      </c>
      <c r="C6" s="35" t="s">
        <v>58</v>
      </c>
      <c r="D6" s="36">
        <f>SUM(D7:D7)</f>
        <v>0</v>
      </c>
      <c r="E6" s="36">
        <f>SUM(E7:E7)</f>
        <v>0</v>
      </c>
      <c r="F6" s="36">
        <f>SUM(F7:F7)</f>
        <v>0</v>
      </c>
      <c r="G6" s="374">
        <f t="shared" ref="G6:H6" si="3">SUM(G7:G7)</f>
        <v>0</v>
      </c>
      <c r="H6" s="36">
        <f t="shared" si="3"/>
        <v>0</v>
      </c>
      <c r="I6" s="615" t="e">
        <f t="shared" si="2"/>
        <v>#DIV/0!</v>
      </c>
      <c r="J6" s="42"/>
      <c r="K6" s="19"/>
    </row>
    <row r="7" spans="1:13" ht="15.75" hidden="1">
      <c r="A7" s="35" t="s">
        <v>9</v>
      </c>
      <c r="B7" s="34" t="s">
        <v>10</v>
      </c>
      <c r="C7" s="35" t="s">
        <v>58</v>
      </c>
      <c r="D7" s="35"/>
      <c r="E7" s="36"/>
      <c r="F7" s="37"/>
      <c r="G7" s="374"/>
      <c r="H7" s="36"/>
      <c r="I7" s="615" t="e">
        <f t="shared" si="2"/>
        <v>#DIV/0!</v>
      </c>
      <c r="J7" s="588"/>
      <c r="K7" s="21"/>
    </row>
    <row r="8" spans="1:13" ht="32.25" customHeight="1">
      <c r="A8" s="33">
        <v>2</v>
      </c>
      <c r="B8" s="34" t="s">
        <v>78</v>
      </c>
      <c r="C8" s="35" t="s">
        <v>58</v>
      </c>
      <c r="D8" s="36">
        <f t="shared" ref="D8:G8" si="4">SUM(D9:D11)</f>
        <v>90.58</v>
      </c>
      <c r="E8" s="36">
        <f t="shared" si="4"/>
        <v>92.28</v>
      </c>
      <c r="F8" s="36">
        <f t="shared" si="4"/>
        <v>103.55</v>
      </c>
      <c r="G8" s="374">
        <f t="shared" si="4"/>
        <v>0</v>
      </c>
      <c r="H8" s="36">
        <f t="shared" ref="H8" si="5">SUM(H9:H11)</f>
        <v>-103.55</v>
      </c>
      <c r="I8" s="615">
        <f>G8/F8*100-100</f>
        <v>-100</v>
      </c>
      <c r="J8" s="42"/>
      <c r="K8" s="19"/>
      <c r="M8" s="8"/>
    </row>
    <row r="9" spans="1:13" ht="16.5" customHeight="1">
      <c r="A9" s="35" t="s">
        <v>19</v>
      </c>
      <c r="B9" s="34" t="s">
        <v>79</v>
      </c>
      <c r="C9" s="35" t="s">
        <v>58</v>
      </c>
      <c r="D9" s="36">
        <v>82.42</v>
      </c>
      <c r="E9" s="36">
        <v>83.97</v>
      </c>
      <c r="F9" s="38">
        <v>92.97</v>
      </c>
      <c r="G9" s="374"/>
      <c r="H9" s="588">
        <f>G9-F9</f>
        <v>-92.97</v>
      </c>
      <c r="I9" s="615">
        <f>G9/F9*100-100</f>
        <v>-100</v>
      </c>
      <c r="J9" s="34" t="s">
        <v>579</v>
      </c>
      <c r="K9" s="24"/>
    </row>
    <row r="10" spans="1:13" ht="16.5" customHeight="1">
      <c r="A10" s="35" t="s">
        <v>21</v>
      </c>
      <c r="B10" s="34" t="s">
        <v>22</v>
      </c>
      <c r="C10" s="35" t="s">
        <v>58</v>
      </c>
      <c r="D10" s="36">
        <v>4.45</v>
      </c>
      <c r="E10" s="36">
        <f>ROUND((E9-10%*E9)*6%,2)</f>
        <v>4.53</v>
      </c>
      <c r="F10" s="38">
        <v>5.77</v>
      </c>
      <c r="G10" s="374"/>
      <c r="H10" s="588">
        <f t="shared" ref="H10:H12" si="6">G10-F10</f>
        <v>-5.77</v>
      </c>
      <c r="I10" s="615">
        <f t="shared" ref="I10:I23" si="7">G10/F10*100-100</f>
        <v>-100</v>
      </c>
      <c r="J10" s="34" t="s">
        <v>579</v>
      </c>
      <c r="K10" s="24"/>
    </row>
    <row r="11" spans="1:13" ht="16.5" customHeight="1">
      <c r="A11" s="35" t="s">
        <v>23</v>
      </c>
      <c r="B11" s="39" t="s">
        <v>138</v>
      </c>
      <c r="C11" s="35" t="s">
        <v>58</v>
      </c>
      <c r="D11" s="36">
        <v>3.71</v>
      </c>
      <c r="E11" s="36">
        <f>ROUND((E9-10%*E9)*5%,2)</f>
        <v>3.78</v>
      </c>
      <c r="F11" s="38">
        <v>4.8099999999999996</v>
      </c>
      <c r="G11" s="374"/>
      <c r="H11" s="588">
        <f t="shared" si="6"/>
        <v>-4.8099999999999996</v>
      </c>
      <c r="I11" s="615">
        <f t="shared" si="7"/>
        <v>-100</v>
      </c>
      <c r="J11" s="34" t="s">
        <v>579</v>
      </c>
      <c r="K11" s="24"/>
    </row>
    <row r="12" spans="1:13" ht="16.5" customHeight="1">
      <c r="A12" s="33">
        <v>3</v>
      </c>
      <c r="B12" s="34" t="s">
        <v>80</v>
      </c>
      <c r="C12" s="35" t="s">
        <v>58</v>
      </c>
      <c r="D12" s="36">
        <v>99.2</v>
      </c>
      <c r="E12" s="36">
        <v>137.63</v>
      </c>
      <c r="F12" s="38">
        <v>137.63</v>
      </c>
      <c r="G12" s="374">
        <v>45.877000000000002</v>
      </c>
      <c r="H12" s="588">
        <f t="shared" si="6"/>
        <v>-91.752999999999986</v>
      </c>
      <c r="I12" s="615">
        <f t="shared" si="7"/>
        <v>-66.666424471408845</v>
      </c>
      <c r="J12" s="34" t="s">
        <v>579</v>
      </c>
      <c r="K12" s="24"/>
    </row>
    <row r="13" spans="1:13" ht="17.25" hidden="1" customHeight="1">
      <c r="A13" s="33">
        <v>4</v>
      </c>
      <c r="B13" s="34" t="s">
        <v>81</v>
      </c>
      <c r="C13" s="35" t="s">
        <v>58</v>
      </c>
      <c r="D13" s="36">
        <f t="shared" ref="D13:H13" si="8">D14</f>
        <v>37.57</v>
      </c>
      <c r="E13" s="36">
        <f t="shared" si="8"/>
        <v>0</v>
      </c>
      <c r="F13" s="36">
        <f t="shared" si="8"/>
        <v>0</v>
      </c>
      <c r="G13" s="374">
        <f t="shared" si="8"/>
        <v>0</v>
      </c>
      <c r="H13" s="36">
        <f t="shared" si="8"/>
        <v>0</v>
      </c>
      <c r="I13" s="615" t="e">
        <f t="shared" si="7"/>
        <v>#DIV/0!</v>
      </c>
      <c r="J13" s="34" t="s">
        <v>573</v>
      </c>
      <c r="K13" s="19"/>
    </row>
    <row r="14" spans="1:13" ht="18" hidden="1" customHeight="1">
      <c r="A14" s="40" t="s">
        <v>26</v>
      </c>
      <c r="B14" s="34" t="s">
        <v>32</v>
      </c>
      <c r="C14" s="35" t="s">
        <v>58</v>
      </c>
      <c r="D14" s="36">
        <v>37.57</v>
      </c>
      <c r="E14" s="36"/>
      <c r="F14" s="37"/>
      <c r="G14" s="374"/>
      <c r="H14" s="118"/>
      <c r="I14" s="615" t="e">
        <f t="shared" si="7"/>
        <v>#DIV/0!</v>
      </c>
      <c r="J14" s="34" t="s">
        <v>573</v>
      </c>
      <c r="K14" s="21"/>
    </row>
    <row r="15" spans="1:13" ht="20.25" customHeight="1">
      <c r="A15" s="417" t="s">
        <v>82</v>
      </c>
      <c r="B15" s="418" t="s">
        <v>83</v>
      </c>
      <c r="C15" s="417" t="s">
        <v>58</v>
      </c>
      <c r="D15" s="31">
        <f>D16+D21</f>
        <v>17.28</v>
      </c>
      <c r="E15" s="31" t="e">
        <f>E16+E21</f>
        <v>#REF!</v>
      </c>
      <c r="F15" s="31">
        <f>F16+F21</f>
        <v>27.759999999999998</v>
      </c>
      <c r="G15" s="31">
        <f t="shared" ref="G15:I15" si="9">G16+G21</f>
        <v>5.6000000000000001E-2</v>
      </c>
      <c r="H15" s="31">
        <f t="shared" si="9"/>
        <v>-27.704000000000001</v>
      </c>
      <c r="I15" s="31">
        <f t="shared" si="9"/>
        <v>-199.5912408759124</v>
      </c>
      <c r="J15" s="34"/>
      <c r="K15" s="23"/>
    </row>
    <row r="16" spans="1:13" ht="31.5">
      <c r="A16" s="40">
        <v>5</v>
      </c>
      <c r="B16" s="34" t="s">
        <v>84</v>
      </c>
      <c r="C16" s="35" t="s">
        <v>58</v>
      </c>
      <c r="D16" s="36">
        <f>SUM(D17:D18)+D20</f>
        <v>4.49</v>
      </c>
      <c r="E16" s="36">
        <f t="shared" ref="E16:G16" si="10">SUM(E17:E18)+E20</f>
        <v>0.5</v>
      </c>
      <c r="F16" s="36">
        <f>SUM(F17:F18)+F20</f>
        <v>13.7</v>
      </c>
      <c r="G16" s="374">
        <f t="shared" si="10"/>
        <v>5.6000000000000001E-2</v>
      </c>
      <c r="H16" s="36">
        <f t="shared" ref="H16" si="11">SUM(H17:H18)+H20</f>
        <v>-13.644</v>
      </c>
      <c r="I16" s="615">
        <f t="shared" si="7"/>
        <v>-99.591240875912405</v>
      </c>
      <c r="J16" s="34"/>
      <c r="K16" s="19"/>
    </row>
    <row r="17" spans="1:13" ht="16.5" customHeight="1">
      <c r="A17" s="40" t="s">
        <v>29</v>
      </c>
      <c r="B17" s="34" t="s">
        <v>85</v>
      </c>
      <c r="C17" s="35" t="s">
        <v>58</v>
      </c>
      <c r="D17" s="36">
        <v>4.49</v>
      </c>
      <c r="E17" s="36">
        <v>0.5</v>
      </c>
      <c r="F17" s="37">
        <v>0.19</v>
      </c>
      <c r="G17" s="374">
        <v>5.6000000000000001E-2</v>
      </c>
      <c r="H17" s="588">
        <f>G17-F17</f>
        <v>-0.13400000000000001</v>
      </c>
      <c r="I17" s="615">
        <f t="shared" si="7"/>
        <v>-70.526315789473685</v>
      </c>
      <c r="J17" s="34" t="s">
        <v>579</v>
      </c>
      <c r="K17" s="21"/>
    </row>
    <row r="18" spans="1:13" ht="16.5" customHeight="1">
      <c r="A18" s="40" t="s">
        <v>31</v>
      </c>
      <c r="B18" s="41" t="s">
        <v>147</v>
      </c>
      <c r="C18" s="35" t="s">
        <v>58</v>
      </c>
      <c r="D18" s="42">
        <f t="shared" ref="D18:H18" si="12">D19</f>
        <v>0</v>
      </c>
      <c r="E18" s="42">
        <f t="shared" si="12"/>
        <v>0</v>
      </c>
      <c r="F18" s="42">
        <f t="shared" si="12"/>
        <v>0.26</v>
      </c>
      <c r="G18" s="375"/>
      <c r="H18" s="42">
        <f t="shared" si="12"/>
        <v>-0.26</v>
      </c>
      <c r="I18" s="615">
        <f t="shared" si="7"/>
        <v>-100</v>
      </c>
      <c r="J18" s="34" t="s">
        <v>579</v>
      </c>
      <c r="K18" s="21"/>
    </row>
    <row r="19" spans="1:13" ht="35.25" customHeight="1">
      <c r="A19" s="40" t="s">
        <v>178</v>
      </c>
      <c r="B19" s="41" t="s">
        <v>498</v>
      </c>
      <c r="C19" s="35" t="s">
        <v>58</v>
      </c>
      <c r="D19" s="42"/>
      <c r="E19" s="42"/>
      <c r="F19" s="37">
        <v>0.26</v>
      </c>
      <c r="G19" s="375"/>
      <c r="H19" s="588">
        <f>G19-F19</f>
        <v>-0.26</v>
      </c>
      <c r="I19" s="615">
        <f t="shared" si="7"/>
        <v>-100</v>
      </c>
      <c r="J19" s="34" t="s">
        <v>579</v>
      </c>
      <c r="K19" s="21"/>
    </row>
    <row r="20" spans="1:13" ht="16.5" customHeight="1">
      <c r="A20" s="40" t="s">
        <v>33</v>
      </c>
      <c r="B20" s="34" t="s">
        <v>55</v>
      </c>
      <c r="C20" s="35" t="s">
        <v>58</v>
      </c>
      <c r="D20" s="42"/>
      <c r="E20" s="42"/>
      <c r="F20" s="37">
        <v>13.25</v>
      </c>
      <c r="G20" s="375"/>
      <c r="H20" s="588">
        <f>G20-F20</f>
        <v>-13.25</v>
      </c>
      <c r="I20" s="615">
        <f t="shared" si="7"/>
        <v>-100</v>
      </c>
      <c r="J20" s="34" t="s">
        <v>579</v>
      </c>
      <c r="K20" s="21"/>
    </row>
    <row r="21" spans="1:13" ht="17.25" customHeight="1">
      <c r="A21" s="40">
        <v>6</v>
      </c>
      <c r="B21" s="34" t="s">
        <v>86</v>
      </c>
      <c r="C21" s="35" t="s">
        <v>58</v>
      </c>
      <c r="D21" s="36">
        <f>D22</f>
        <v>12.79</v>
      </c>
      <c r="E21" s="36" t="e">
        <f t="shared" ref="E21:H21" si="13">E22</f>
        <v>#REF!</v>
      </c>
      <c r="F21" s="36">
        <f>F22</f>
        <v>14.06</v>
      </c>
      <c r="G21" s="374">
        <f t="shared" si="13"/>
        <v>0</v>
      </c>
      <c r="H21" s="36">
        <f t="shared" si="13"/>
        <v>-14.06</v>
      </c>
      <c r="I21" s="615">
        <f t="shared" si="7"/>
        <v>-100</v>
      </c>
      <c r="J21" s="34"/>
      <c r="K21" s="19"/>
    </row>
    <row r="22" spans="1:13" ht="32.25" customHeight="1">
      <c r="A22" s="40" t="s">
        <v>44</v>
      </c>
      <c r="B22" s="34" t="s">
        <v>87</v>
      </c>
      <c r="C22" s="35" t="s">
        <v>58</v>
      </c>
      <c r="D22" s="36">
        <v>12.79</v>
      </c>
      <c r="E22" s="36" t="e">
        <f>ROUND(D22*$E$51,2)</f>
        <v>#REF!</v>
      </c>
      <c r="F22" s="37">
        <v>14.06</v>
      </c>
      <c r="G22" s="374"/>
      <c r="H22" s="588">
        <f>G22-F22</f>
        <v>-14.06</v>
      </c>
      <c r="I22" s="615">
        <f t="shared" si="7"/>
        <v>-100</v>
      </c>
      <c r="J22" s="34" t="s">
        <v>579</v>
      </c>
      <c r="K22" s="21"/>
    </row>
    <row r="23" spans="1:13" s="3" customFormat="1" ht="20.25" customHeight="1">
      <c r="A23" s="417" t="s">
        <v>61</v>
      </c>
      <c r="B23" s="418" t="s">
        <v>60</v>
      </c>
      <c r="C23" s="417" t="s">
        <v>58</v>
      </c>
      <c r="D23" s="31">
        <f t="shared" ref="D23:E23" si="14">SUM(D15+D5)</f>
        <v>244.63</v>
      </c>
      <c r="E23" s="31" t="e">
        <f t="shared" si="14"/>
        <v>#REF!</v>
      </c>
      <c r="F23" s="31">
        <f>SUM(F15+F5)</f>
        <v>268.94</v>
      </c>
      <c r="G23" s="373">
        <f>SUM(G15+G5)</f>
        <v>45.933</v>
      </c>
      <c r="H23" s="31">
        <f t="shared" ref="H23" si="15">SUM(H15+H5)</f>
        <v>-223.00700000000001</v>
      </c>
      <c r="I23" s="615">
        <f t="shared" si="7"/>
        <v>-82.920725812448865</v>
      </c>
      <c r="J23" s="34"/>
      <c r="K23" s="23"/>
    </row>
    <row r="24" spans="1:13" ht="16.5" customHeight="1">
      <c r="A24" s="417" t="s">
        <v>63</v>
      </c>
      <c r="B24" s="418" t="s">
        <v>88</v>
      </c>
      <c r="C24" s="417" t="s">
        <v>58</v>
      </c>
      <c r="D24" s="31">
        <f t="shared" ref="D24:G24" si="16">D25-D23</f>
        <v>5.2999999999769898E-4</v>
      </c>
      <c r="E24" s="31" t="e">
        <f t="shared" si="16"/>
        <v>#REF!</v>
      </c>
      <c r="F24" s="32">
        <f>F25-F23</f>
        <v>4.0300000000570435E-4</v>
      </c>
      <c r="G24" s="373">
        <f t="shared" si="16"/>
        <v>-45.933</v>
      </c>
      <c r="H24" s="118"/>
      <c r="I24" s="547"/>
      <c r="J24" s="547"/>
      <c r="K24" s="23"/>
    </row>
    <row r="25" spans="1:13" ht="16.5" customHeight="1">
      <c r="A25" s="417" t="s">
        <v>65</v>
      </c>
      <c r="B25" s="418" t="s">
        <v>62</v>
      </c>
      <c r="C25" s="417" t="s">
        <v>58</v>
      </c>
      <c r="D25" s="31">
        <f>+D31</f>
        <v>244.63052999999999</v>
      </c>
      <c r="E25" s="31" t="e">
        <f>+E31</f>
        <v>#REF!</v>
      </c>
      <c r="F25" s="31">
        <f>F31</f>
        <v>268.940403</v>
      </c>
      <c r="G25" s="373">
        <f>+G31</f>
        <v>0</v>
      </c>
      <c r="H25" s="118"/>
      <c r="I25" s="547"/>
      <c r="J25" s="547"/>
      <c r="K25" s="23"/>
    </row>
    <row r="26" spans="1:13" ht="31.5" hidden="1">
      <c r="A26" s="417"/>
      <c r="B26" s="418" t="s">
        <v>89</v>
      </c>
      <c r="C26" s="35" t="s">
        <v>58</v>
      </c>
      <c r="D26" s="35"/>
      <c r="E26" s="31"/>
      <c r="F26" s="43"/>
      <c r="G26" s="373"/>
      <c r="H26" s="118"/>
      <c r="I26" s="118"/>
      <c r="J26" s="118"/>
      <c r="K26" s="17"/>
    </row>
    <row r="27" spans="1:13" ht="31.5" hidden="1">
      <c r="A27" s="417"/>
      <c r="B27" s="418" t="s">
        <v>90</v>
      </c>
      <c r="C27" s="35" t="s">
        <v>58</v>
      </c>
      <c r="D27" s="35"/>
      <c r="E27" s="31"/>
      <c r="F27" s="43"/>
      <c r="G27" s="373"/>
      <c r="H27" s="118"/>
      <c r="I27" s="118"/>
      <c r="J27" s="118"/>
      <c r="K27" s="17"/>
    </row>
    <row r="28" spans="1:13" ht="15.75">
      <c r="A28" s="908" t="s">
        <v>68</v>
      </c>
      <c r="B28" s="909" t="s">
        <v>64</v>
      </c>
      <c r="C28" s="417" t="s">
        <v>91</v>
      </c>
      <c r="D28" s="31">
        <v>1181.79</v>
      </c>
      <c r="E28" s="31" t="e">
        <f>#REF!</f>
        <v>#REF!</v>
      </c>
      <c r="F28" s="44">
        <v>1299.229</v>
      </c>
      <c r="G28" s="373"/>
      <c r="H28" s="118"/>
      <c r="I28" s="118"/>
      <c r="J28" s="118"/>
      <c r="K28" s="17"/>
      <c r="L28" s="14"/>
    </row>
    <row r="29" spans="1:13" ht="15.75" hidden="1">
      <c r="A29" s="908"/>
      <c r="B29" s="909"/>
      <c r="C29" s="417" t="s">
        <v>92</v>
      </c>
      <c r="D29" s="417"/>
      <c r="E29" s="31">
        <v>0</v>
      </c>
      <c r="F29" s="43"/>
      <c r="G29" s="373"/>
      <c r="H29" s="118"/>
      <c r="I29" s="118"/>
      <c r="J29" s="118"/>
      <c r="K29" s="17"/>
    </row>
    <row r="30" spans="1:13" ht="15.75" hidden="1">
      <c r="A30" s="908"/>
      <c r="B30" s="909"/>
      <c r="C30" s="417" t="s">
        <v>93</v>
      </c>
      <c r="D30" s="417"/>
      <c r="E30" s="31">
        <v>0</v>
      </c>
      <c r="F30" s="43"/>
      <c r="G30" s="373"/>
      <c r="H30" s="118"/>
      <c r="I30" s="118"/>
      <c r="J30" s="118"/>
      <c r="K30" s="17"/>
    </row>
    <row r="31" spans="1:13" s="4" customFormat="1" ht="15.75">
      <c r="A31" s="908"/>
      <c r="B31" s="909"/>
      <c r="C31" s="417" t="s">
        <v>58</v>
      </c>
      <c r="D31" s="31">
        <f>D28*D36</f>
        <v>244.63052999999999</v>
      </c>
      <c r="E31" s="31" t="e">
        <f>#REF!</f>
        <v>#REF!</v>
      </c>
      <c r="F31" s="45">
        <f>F28*F36</f>
        <v>268.940403</v>
      </c>
      <c r="G31" s="373"/>
      <c r="H31" s="96"/>
      <c r="I31" s="616"/>
      <c r="J31" s="616"/>
      <c r="K31" s="25"/>
      <c r="M31" s="15"/>
    </row>
    <row r="32" spans="1:13" s="4" customFormat="1" ht="31.5" hidden="1">
      <c r="A32" s="417"/>
      <c r="B32" s="418" t="s">
        <v>94</v>
      </c>
      <c r="C32" s="417" t="s">
        <v>58</v>
      </c>
      <c r="D32" s="417"/>
      <c r="E32" s="31"/>
      <c r="F32" s="46"/>
      <c r="G32" s="373"/>
      <c r="H32" s="96"/>
      <c r="I32" s="96"/>
      <c r="J32" s="96"/>
      <c r="K32" s="26"/>
    </row>
    <row r="33" spans="1:11" s="4" customFormat="1" ht="15.75" hidden="1">
      <c r="A33" s="417"/>
      <c r="B33" s="418" t="s">
        <v>95</v>
      </c>
      <c r="C33" s="417" t="s">
        <v>58</v>
      </c>
      <c r="D33" s="417"/>
      <c r="E33" s="31"/>
      <c r="F33" s="46"/>
      <c r="G33" s="373"/>
      <c r="H33" s="96"/>
      <c r="I33" s="96"/>
      <c r="J33" s="96"/>
      <c r="K33" s="26"/>
    </row>
    <row r="34" spans="1:11" s="3" customFormat="1" ht="15.75">
      <c r="A34" s="908" t="s">
        <v>69</v>
      </c>
      <c r="B34" s="909" t="s">
        <v>96</v>
      </c>
      <c r="C34" s="417" t="s">
        <v>67</v>
      </c>
      <c r="D34" s="47">
        <v>15</v>
      </c>
      <c r="E34" s="48">
        <v>15</v>
      </c>
      <c r="F34" s="325">
        <v>15</v>
      </c>
      <c r="G34" s="376"/>
      <c r="H34" s="550"/>
      <c r="I34" s="617"/>
      <c r="J34" s="617"/>
      <c r="K34" s="20"/>
    </row>
    <row r="35" spans="1:11" ht="15.75">
      <c r="A35" s="908"/>
      <c r="B35" s="909"/>
      <c r="C35" s="417" t="s">
        <v>97</v>
      </c>
      <c r="D35" s="31">
        <f>D28/0.85-D28</f>
        <v>208.55117647058819</v>
      </c>
      <c r="E35" s="31" t="e">
        <f>E28/0.85-E28</f>
        <v>#REF!</v>
      </c>
      <c r="F35" s="49">
        <v>229.2757058823529</v>
      </c>
      <c r="G35" s="373">
        <f>G28/0.85-G28</f>
        <v>0</v>
      </c>
      <c r="H35" s="118"/>
      <c r="I35" s="618"/>
      <c r="J35" s="618"/>
      <c r="K35" s="27"/>
    </row>
    <row r="36" spans="1:11" ht="21.75" customHeight="1">
      <c r="A36" s="417" t="s">
        <v>98</v>
      </c>
      <c r="B36" s="418" t="s">
        <v>70</v>
      </c>
      <c r="C36" s="417" t="s">
        <v>99</v>
      </c>
      <c r="D36" s="32">
        <v>0.20699999999999999</v>
      </c>
      <c r="E36" s="32">
        <v>0.20699999999999999</v>
      </c>
      <c r="F36" s="326">
        <v>0.20699999999999999</v>
      </c>
      <c r="G36" s="377">
        <v>0.19900000000000001</v>
      </c>
      <c r="H36" s="118"/>
      <c r="I36" s="71"/>
      <c r="J36" s="71"/>
      <c r="K36" s="28"/>
    </row>
    <row r="37" spans="1:11" ht="17.25" customHeight="1">
      <c r="A37" s="417"/>
      <c r="B37" s="418" t="s">
        <v>100</v>
      </c>
      <c r="C37" s="417"/>
      <c r="D37" s="417"/>
      <c r="E37" s="32"/>
      <c r="F37" s="43"/>
      <c r="G37" s="377"/>
      <c r="H37" s="118"/>
      <c r="I37" s="118"/>
      <c r="J37" s="118"/>
      <c r="K37" s="17"/>
    </row>
    <row r="38" spans="1:11" s="3" customFormat="1" ht="31.5">
      <c r="A38" s="51"/>
      <c r="B38" s="52" t="s">
        <v>101</v>
      </c>
      <c r="C38" s="50" t="s">
        <v>102</v>
      </c>
      <c r="D38" s="53">
        <f>+D39</f>
        <v>0.5</v>
      </c>
      <c r="E38" s="53">
        <f>+E39</f>
        <v>0.5</v>
      </c>
      <c r="F38" s="44">
        <f>+F39</f>
        <v>0.5</v>
      </c>
      <c r="G38" s="378">
        <f>+G39</f>
        <v>0.5</v>
      </c>
      <c r="H38" s="550"/>
      <c r="I38" s="550"/>
      <c r="J38" s="550"/>
      <c r="K38" s="29"/>
    </row>
    <row r="39" spans="1:11" ht="15.75">
      <c r="A39" s="51"/>
      <c r="B39" s="54" t="s">
        <v>103</v>
      </c>
      <c r="C39" s="55" t="s">
        <v>102</v>
      </c>
      <c r="D39" s="56">
        <v>0.5</v>
      </c>
      <c r="E39" s="56">
        <v>0.5</v>
      </c>
      <c r="F39" s="43">
        <v>0.5</v>
      </c>
      <c r="G39" s="379">
        <v>0.5</v>
      </c>
      <c r="H39" s="118"/>
      <c r="I39" s="118"/>
      <c r="J39" s="118"/>
      <c r="K39" s="17"/>
    </row>
    <row r="40" spans="1:11" ht="15.75">
      <c r="A40" s="51"/>
      <c r="B40" s="52" t="s">
        <v>104</v>
      </c>
      <c r="C40" s="50" t="s">
        <v>105</v>
      </c>
      <c r="D40" s="57">
        <f>D41</f>
        <v>27900</v>
      </c>
      <c r="E40" s="57">
        <f>E41</f>
        <v>27990</v>
      </c>
      <c r="F40" s="57">
        <f>F41</f>
        <v>27990</v>
      </c>
      <c r="G40" s="380">
        <f>G41</f>
        <v>27900</v>
      </c>
      <c r="H40" s="118"/>
      <c r="I40" s="337"/>
      <c r="J40" s="337"/>
      <c r="K40" s="30"/>
    </row>
    <row r="41" spans="1:11" ht="15.75">
      <c r="A41" s="51"/>
      <c r="B41" s="54" t="s">
        <v>103</v>
      </c>
      <c r="C41" s="55" t="s">
        <v>105</v>
      </c>
      <c r="D41" s="58">
        <v>27900</v>
      </c>
      <c r="E41" s="58">
        <v>27990</v>
      </c>
      <c r="F41" s="58">
        <v>27990</v>
      </c>
      <c r="G41" s="381">
        <v>27900</v>
      </c>
      <c r="H41" s="118"/>
      <c r="I41" s="335"/>
      <c r="J41" s="335"/>
      <c r="K41" s="16"/>
    </row>
    <row r="42" spans="1:11" ht="15.75">
      <c r="A42" s="59"/>
      <c r="B42" s="60"/>
      <c r="C42" s="61"/>
      <c r="D42" s="62"/>
      <c r="E42" s="62"/>
      <c r="F42" s="62"/>
      <c r="G42" s="382"/>
      <c r="H42" s="63"/>
      <c r="I42" s="63"/>
      <c r="J42" s="63"/>
      <c r="K42" s="17"/>
    </row>
    <row r="43" spans="1:11" ht="15.75" hidden="1">
      <c r="A43" s="59"/>
      <c r="B43" s="60"/>
      <c r="C43" s="61"/>
      <c r="D43" s="62"/>
      <c r="E43" s="62"/>
      <c r="F43" s="62"/>
      <c r="G43" s="382"/>
      <c r="H43" s="63"/>
      <c r="I43" s="63"/>
      <c r="J43" s="63"/>
      <c r="K43" s="17"/>
    </row>
    <row r="44" spans="1:11" ht="63" hidden="1">
      <c r="A44" s="422" t="s">
        <v>180</v>
      </c>
      <c r="B44" s="422" t="s">
        <v>181</v>
      </c>
      <c r="C44" s="422" t="s">
        <v>183</v>
      </c>
      <c r="D44" s="424" t="s">
        <v>141</v>
      </c>
      <c r="E44" s="64"/>
      <c r="F44" s="64"/>
      <c r="G44" s="416" t="s">
        <v>190</v>
      </c>
      <c r="H44" s="65"/>
      <c r="I44" s="65"/>
      <c r="J44" s="65"/>
    </row>
    <row r="45" spans="1:11" ht="31.5" hidden="1">
      <c r="A45" s="66">
        <v>1</v>
      </c>
      <c r="B45" s="67" t="s">
        <v>186</v>
      </c>
      <c r="C45" s="68">
        <f>38.88+434.144</f>
        <v>473.024</v>
      </c>
      <c r="D45" s="69">
        <v>0.18099999999999999</v>
      </c>
      <c r="E45" s="64"/>
      <c r="F45" s="64"/>
      <c r="G45" s="383">
        <f>D46-D45</f>
        <v>2.5999999999999995E-2</v>
      </c>
      <c r="H45" s="65"/>
      <c r="I45" s="65"/>
      <c r="J45" s="65"/>
    </row>
    <row r="46" spans="1:11" ht="31.5" hidden="1">
      <c r="A46" s="66">
        <v>2</v>
      </c>
      <c r="B46" s="67" t="s">
        <v>184</v>
      </c>
      <c r="C46" s="70">
        <f>546.9+279.305</f>
        <v>826.20499999999993</v>
      </c>
      <c r="D46" s="69">
        <v>0.20699999999999999</v>
      </c>
      <c r="E46" s="64"/>
      <c r="F46" s="64"/>
      <c r="G46" s="383"/>
      <c r="H46" s="65"/>
      <c r="I46" s="65"/>
      <c r="J46" s="65"/>
    </row>
    <row r="47" spans="1:11" ht="15.75" hidden="1">
      <c r="A47" s="71"/>
      <c r="B47" s="422"/>
      <c r="C47" s="72">
        <f>SUM(C45:C46)</f>
        <v>1299.2289999999998</v>
      </c>
      <c r="D47" s="73"/>
      <c r="E47" s="64"/>
      <c r="F47" s="64"/>
      <c r="G47" s="384"/>
      <c r="H47" s="65"/>
      <c r="I47" s="65"/>
      <c r="J47" s="65"/>
    </row>
    <row r="48" spans="1:11" ht="15.75" hidden="1">
      <c r="A48" s="59"/>
      <c r="B48" s="60"/>
      <c r="C48" s="61"/>
      <c r="D48" s="62"/>
      <c r="E48" s="62"/>
      <c r="F48" s="62"/>
      <c r="G48" s="382"/>
      <c r="H48" s="63"/>
      <c r="I48" s="63"/>
      <c r="J48" s="63"/>
      <c r="K48" s="17"/>
    </row>
    <row r="49" spans="1:11" ht="15.75">
      <c r="A49" s="59"/>
      <c r="B49" s="60"/>
      <c r="C49" s="61"/>
      <c r="D49" s="62"/>
      <c r="E49" s="62"/>
      <c r="F49" s="62"/>
      <c r="G49" s="382"/>
      <c r="H49" s="63"/>
      <c r="I49" s="63"/>
      <c r="J49" s="63"/>
      <c r="K49" s="17"/>
    </row>
    <row r="50" spans="1:11" ht="15.75">
      <c r="A50" s="74"/>
      <c r="B50" s="74"/>
      <c r="C50" s="74"/>
      <c r="D50" s="74"/>
      <c r="E50" s="74"/>
      <c r="F50" s="74"/>
      <c r="G50" s="385"/>
      <c r="H50" s="65"/>
      <c r="I50" s="65"/>
      <c r="J50" s="65"/>
    </row>
    <row r="51" spans="1:11" ht="15.75">
      <c r="A51" s="74"/>
      <c r="B51" s="74"/>
      <c r="C51" s="74"/>
      <c r="D51" s="74"/>
      <c r="E51" s="74" t="e">
        <f>E28/D28</f>
        <v>#REF!</v>
      </c>
      <c r="F51" s="74"/>
      <c r="G51" s="385"/>
      <c r="H51" s="65"/>
      <c r="I51" s="65"/>
      <c r="J51" s="65"/>
    </row>
    <row r="52" spans="1:11" ht="15.75">
      <c r="B52" s="76" t="s">
        <v>517</v>
      </c>
      <c r="C52" s="65"/>
      <c r="D52" s="65"/>
      <c r="E52" s="65"/>
      <c r="F52" s="65"/>
      <c r="G52" s="385"/>
      <c r="H52" s="65"/>
      <c r="I52" s="76" t="s">
        <v>304</v>
      </c>
      <c r="J52" s="65"/>
    </row>
    <row r="53" spans="1:11" ht="15.75">
      <c r="A53" s="76"/>
      <c r="B53" s="65"/>
      <c r="C53" s="65"/>
      <c r="D53" s="65"/>
      <c r="E53" s="65"/>
      <c r="F53" s="65"/>
      <c r="G53" s="385"/>
      <c r="H53" s="65"/>
      <c r="I53" s="65"/>
      <c r="J53" s="65"/>
    </row>
    <row r="54" spans="1:11" s="3" customFormat="1" ht="15" hidden="1" customHeight="1">
      <c r="A54" s="76" t="s">
        <v>71</v>
      </c>
      <c r="B54" s="76"/>
      <c r="C54" s="76"/>
      <c r="D54" s="76"/>
      <c r="E54" s="76"/>
      <c r="F54" s="76"/>
      <c r="G54" s="386"/>
      <c r="H54" s="76"/>
      <c r="I54" s="76"/>
      <c r="J54" s="76"/>
    </row>
    <row r="55" spans="1:11" s="3" customFormat="1" ht="15" customHeight="1">
      <c r="A55" s="76"/>
      <c r="B55" s="76" t="s">
        <v>71</v>
      </c>
      <c r="C55" s="76"/>
      <c r="D55" s="76"/>
      <c r="E55" s="76"/>
      <c r="F55" s="76"/>
      <c r="G55" s="386"/>
      <c r="H55" s="76"/>
      <c r="I55" s="76" t="s">
        <v>595</v>
      </c>
      <c r="J55" s="76"/>
    </row>
    <row r="56" spans="1:11" s="3" customFormat="1" ht="15" customHeight="1">
      <c r="A56" s="76"/>
      <c r="B56" s="76"/>
      <c r="C56" s="76"/>
      <c r="D56" s="76"/>
      <c r="E56" s="76"/>
      <c r="F56" s="76"/>
      <c r="G56" s="386"/>
      <c r="H56" s="76"/>
      <c r="I56" s="76"/>
      <c r="J56" s="76"/>
    </row>
    <row r="57" spans="1:11" s="3" customFormat="1" ht="15.75">
      <c r="B57" s="76" t="s">
        <v>72</v>
      </c>
      <c r="C57" s="76"/>
      <c r="D57" s="76"/>
      <c r="E57" s="76"/>
      <c r="F57" s="76"/>
      <c r="G57" s="386"/>
      <c r="H57" s="76"/>
      <c r="I57" s="76" t="s">
        <v>169</v>
      </c>
      <c r="J57" s="76"/>
    </row>
    <row r="58" spans="1:11" s="3" customFormat="1" ht="15.75">
      <c r="A58" s="76"/>
      <c r="B58" s="76"/>
      <c r="C58" s="76"/>
      <c r="D58" s="76"/>
      <c r="E58" s="76"/>
      <c r="F58" s="76"/>
      <c r="G58" s="386"/>
      <c r="H58" s="76"/>
      <c r="I58" s="76"/>
      <c r="J58" s="76"/>
    </row>
    <row r="59" spans="1:11" s="3" customFormat="1" ht="15.75">
      <c r="B59" s="76" t="s">
        <v>589</v>
      </c>
      <c r="C59" s="76"/>
      <c r="D59" s="76"/>
      <c r="E59" s="76"/>
      <c r="F59" s="76"/>
      <c r="G59" s="386"/>
      <c r="H59" s="76"/>
      <c r="I59" s="76" t="s">
        <v>590</v>
      </c>
      <c r="J59" s="76"/>
    </row>
    <row r="60" spans="1:11" s="3" customFormat="1" ht="15.75">
      <c r="A60" s="76"/>
      <c r="B60" s="76"/>
      <c r="C60" s="76"/>
      <c r="D60" s="76"/>
      <c r="E60" s="76"/>
      <c r="F60" s="76"/>
      <c r="G60" s="386"/>
      <c r="H60" s="76"/>
      <c r="I60" s="76"/>
      <c r="J60" s="76"/>
    </row>
    <row r="61" spans="1:11" s="3" customFormat="1" ht="15.75">
      <c r="A61" s="76" t="s">
        <v>108</v>
      </c>
      <c r="B61" s="76" t="s">
        <v>505</v>
      </c>
      <c r="C61" s="76"/>
      <c r="D61" s="76"/>
      <c r="E61" s="76"/>
      <c r="F61" s="76"/>
      <c r="G61" s="386"/>
      <c r="H61" s="76"/>
      <c r="I61" s="76"/>
      <c r="J61" s="76"/>
    </row>
    <row r="62" spans="1:11" ht="15.75">
      <c r="A62" s="65"/>
      <c r="B62" s="76" t="s">
        <v>109</v>
      </c>
      <c r="C62" s="65"/>
      <c r="D62" s="65"/>
      <c r="E62" s="65"/>
      <c r="F62" s="65"/>
      <c r="G62" s="385"/>
      <c r="H62" s="65"/>
      <c r="I62" s="65"/>
      <c r="J62" s="65"/>
    </row>
    <row r="63" spans="1:11" ht="15.75">
      <c r="A63" s="74"/>
      <c r="B63" s="76" t="s">
        <v>592</v>
      </c>
      <c r="C63" s="74"/>
      <c r="D63" s="74"/>
      <c r="E63" s="74"/>
      <c r="F63" s="74"/>
      <c r="G63" s="385"/>
      <c r="H63" s="65"/>
      <c r="I63" s="65"/>
      <c r="J63" s="65"/>
    </row>
  </sheetData>
  <mergeCells count="15">
    <mergeCell ref="A1:J1"/>
    <mergeCell ref="J3:J4"/>
    <mergeCell ref="I3:I4"/>
    <mergeCell ref="F3:F4"/>
    <mergeCell ref="A28:A31"/>
    <mergeCell ref="B28:B31"/>
    <mergeCell ref="D3:D4"/>
    <mergeCell ref="E3:E4"/>
    <mergeCell ref="G3:G4"/>
    <mergeCell ref="H3:H4"/>
    <mergeCell ref="A34:A35"/>
    <mergeCell ref="B34:B35"/>
    <mergeCell ref="A3:A4"/>
    <mergeCell ref="B3:B4"/>
    <mergeCell ref="C3:C4"/>
  </mergeCells>
  <pageMargins left="0.86614173228346458" right="0.19685039370078741" top="0.94488188976377963" bottom="0.6692913385826772" header="0.23622047244094491" footer="0.19685039370078741"/>
  <pageSetup paperSize="9" scale="50" fitToHeight="0" orientation="portrait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7C80"/>
  </sheetPr>
  <dimension ref="A1:Q90"/>
  <sheetViews>
    <sheetView view="pageBreakPreview" zoomScale="80" zoomScaleNormal="90" zoomScaleSheetLayoutView="80" workbookViewId="0">
      <pane xSplit="3" ySplit="5" topLeftCell="L6" activePane="bottomRight" state="frozen"/>
      <selection pane="topRight" activeCell="D1" sqref="D1"/>
      <selection pane="bottomLeft" activeCell="A4" sqref="A4"/>
      <selection pane="bottomRight" activeCell="M10" sqref="M10"/>
    </sheetView>
  </sheetViews>
  <sheetFormatPr defaultColWidth="9.140625" defaultRowHeight="15"/>
  <cols>
    <col min="1" max="1" width="6.140625" style="11" customWidth="1"/>
    <col min="2" max="2" width="50.42578125" style="11" customWidth="1"/>
    <col min="3" max="3" width="11.7109375" style="11" customWidth="1"/>
    <col min="4" max="5" width="15.42578125" style="11" hidden="1" customWidth="1"/>
    <col min="6" max="8" width="17.140625" style="11" hidden="1" customWidth="1"/>
    <col min="9" max="9" width="15.28515625" style="11" hidden="1" customWidth="1"/>
    <col min="10" max="11" width="17.140625" style="11" hidden="1" customWidth="1"/>
    <col min="12" max="12" width="19.140625" style="11" customWidth="1"/>
    <col min="13" max="13" width="16.85546875" style="387" customWidth="1"/>
    <col min="14" max="14" width="14.5703125" style="11" customWidth="1"/>
    <col min="15" max="15" width="14.85546875" style="322" customWidth="1"/>
    <col min="16" max="16" width="39" style="321" customWidth="1"/>
    <col min="17" max="17" width="9.85546875" style="9" bestFit="1" customWidth="1"/>
    <col min="18" max="16384" width="9.140625" style="9"/>
  </cols>
  <sheetData>
    <row r="1" spans="1:16" ht="64.5" customHeight="1">
      <c r="A1" s="913" t="s">
        <v>587</v>
      </c>
      <c r="B1" s="913"/>
      <c r="C1" s="913"/>
      <c r="D1" s="913"/>
      <c r="E1" s="913"/>
      <c r="F1" s="913"/>
      <c r="G1" s="913"/>
      <c r="H1" s="913"/>
      <c r="I1" s="913"/>
      <c r="J1" s="913"/>
      <c r="K1" s="913"/>
      <c r="L1" s="913"/>
      <c r="M1" s="913"/>
      <c r="N1" s="913"/>
      <c r="O1" s="913"/>
      <c r="P1" s="913"/>
    </row>
    <row r="2" spans="1:16" ht="27.75" customHeight="1">
      <c r="A2" s="848"/>
      <c r="B2" s="848"/>
      <c r="C2" s="848"/>
      <c r="D2" s="848"/>
      <c r="E2" s="848"/>
      <c r="F2" s="848"/>
      <c r="G2" s="848"/>
      <c r="H2" s="848"/>
      <c r="I2" s="848"/>
      <c r="J2" s="848"/>
      <c r="K2" s="848"/>
      <c r="L2" s="848"/>
      <c r="M2" s="848"/>
      <c r="N2" s="848"/>
      <c r="O2" s="848"/>
      <c r="P2" s="848"/>
    </row>
    <row r="3" spans="1:16" ht="12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619"/>
      <c r="N3" s="161"/>
      <c r="O3" s="620"/>
      <c r="P3" s="621"/>
    </row>
    <row r="4" spans="1:16" ht="39" customHeight="1">
      <c r="A4" s="887" t="s">
        <v>0</v>
      </c>
      <c r="B4" s="887" t="s">
        <v>173</v>
      </c>
      <c r="C4" s="887" t="s">
        <v>174</v>
      </c>
      <c r="D4" s="920" t="s">
        <v>273</v>
      </c>
      <c r="E4" s="921"/>
      <c r="F4" s="922" t="s">
        <v>274</v>
      </c>
      <c r="G4" s="922"/>
      <c r="H4" s="887" t="s">
        <v>275</v>
      </c>
      <c r="I4" s="887" t="s">
        <v>276</v>
      </c>
      <c r="J4" s="887" t="s">
        <v>277</v>
      </c>
      <c r="K4" s="887" t="s">
        <v>278</v>
      </c>
      <c r="L4" s="887" t="s">
        <v>507</v>
      </c>
      <c r="M4" s="880" t="s">
        <v>567</v>
      </c>
      <c r="N4" s="915" t="s">
        <v>501</v>
      </c>
      <c r="O4" s="915" t="s">
        <v>509</v>
      </c>
      <c r="P4" s="914" t="s">
        <v>503</v>
      </c>
    </row>
    <row r="5" spans="1:16" ht="46.5" customHeight="1">
      <c r="A5" s="888"/>
      <c r="B5" s="888"/>
      <c r="C5" s="888"/>
      <c r="D5" s="419" t="s">
        <v>195</v>
      </c>
      <c r="E5" s="125" t="s">
        <v>279</v>
      </c>
      <c r="F5" s="419" t="s">
        <v>195</v>
      </c>
      <c r="G5" s="125" t="s">
        <v>280</v>
      </c>
      <c r="H5" s="888"/>
      <c r="I5" s="888"/>
      <c r="J5" s="888"/>
      <c r="K5" s="888"/>
      <c r="L5" s="888"/>
      <c r="M5" s="880"/>
      <c r="N5" s="915"/>
      <c r="O5" s="915"/>
      <c r="P5" s="914"/>
    </row>
    <row r="6" spans="1:16" s="10" customFormat="1" ht="31.5" customHeight="1">
      <c r="A6" s="427" t="s">
        <v>59</v>
      </c>
      <c r="B6" s="127" t="s">
        <v>281</v>
      </c>
      <c r="C6" s="125" t="s">
        <v>6</v>
      </c>
      <c r="D6" s="622">
        <f t="shared" ref="D6:N6" si="0">D7+D12+D16+D17+D19</f>
        <v>3883.6000000000004</v>
      </c>
      <c r="E6" s="622" t="e">
        <f t="shared" si="0"/>
        <v>#REF!</v>
      </c>
      <c r="F6" s="622">
        <f t="shared" si="0"/>
        <v>27389.5</v>
      </c>
      <c r="G6" s="622">
        <f t="shared" si="0"/>
        <v>22297.963164401692</v>
      </c>
      <c r="H6" s="622">
        <f t="shared" si="0"/>
        <v>0</v>
      </c>
      <c r="I6" s="622" t="e">
        <f t="shared" si="0"/>
        <v>#REF!</v>
      </c>
      <c r="J6" s="622">
        <f t="shared" si="0"/>
        <v>9554.150999999998</v>
      </c>
      <c r="K6" s="622">
        <f t="shared" si="0"/>
        <v>0</v>
      </c>
      <c r="L6" s="622">
        <f t="shared" si="0"/>
        <v>30996.579999999998</v>
      </c>
      <c r="M6" s="623">
        <f t="shared" si="0"/>
        <v>4936.1960000000008</v>
      </c>
      <c r="N6" s="623">
        <f t="shared" si="0"/>
        <v>-26060.383999999995</v>
      </c>
      <c r="O6" s="624">
        <f t="shared" ref="O6:O7" si="1">(M6-L6)/L6</f>
        <v>-0.84075030213010593</v>
      </c>
      <c r="P6" s="625"/>
    </row>
    <row r="7" spans="1:16" s="10" customFormat="1" ht="19.5" customHeight="1">
      <c r="A7" s="427">
        <v>1</v>
      </c>
      <c r="B7" s="127" t="s">
        <v>158</v>
      </c>
      <c r="C7" s="125" t="s">
        <v>130</v>
      </c>
      <c r="D7" s="622">
        <f t="shared" ref="D7:N7" si="2">SUM(D8:D11)</f>
        <v>261.32</v>
      </c>
      <c r="E7" s="622" t="e">
        <f t="shared" si="2"/>
        <v>#REF!</v>
      </c>
      <c r="F7" s="622">
        <f t="shared" si="2"/>
        <v>261.3</v>
      </c>
      <c r="G7" s="622">
        <f t="shared" si="2"/>
        <v>212.72596341145922</v>
      </c>
      <c r="H7" s="622">
        <f t="shared" si="2"/>
        <v>0</v>
      </c>
      <c r="I7" s="622" t="e">
        <f t="shared" si="2"/>
        <v>#REF!</v>
      </c>
      <c r="J7" s="622">
        <f t="shared" si="2"/>
        <v>133.93199999999999</v>
      </c>
      <c r="K7" s="622">
        <f t="shared" si="2"/>
        <v>0</v>
      </c>
      <c r="L7" s="622">
        <f t="shared" si="2"/>
        <v>564.70000000000005</v>
      </c>
      <c r="M7" s="623">
        <f t="shared" si="2"/>
        <v>101.871</v>
      </c>
      <c r="N7" s="623">
        <f t="shared" si="2"/>
        <v>-462.82900000000001</v>
      </c>
      <c r="O7" s="624">
        <f t="shared" si="1"/>
        <v>-0.81960155834956616</v>
      </c>
      <c r="P7" s="625"/>
    </row>
    <row r="8" spans="1:16" ht="17.25" customHeight="1">
      <c r="A8" s="331" t="s">
        <v>9</v>
      </c>
      <c r="B8" s="628" t="s">
        <v>125</v>
      </c>
      <c r="C8" s="829" t="s">
        <v>124</v>
      </c>
      <c r="D8" s="830">
        <v>261.32</v>
      </c>
      <c r="E8" s="830" t="e">
        <f>D8*$E$68</f>
        <v>#REF!</v>
      </c>
      <c r="F8" s="830">
        <v>261.3</v>
      </c>
      <c r="G8" s="830">
        <f>F8*$G$87</f>
        <v>212.72596341145922</v>
      </c>
      <c r="H8" s="830"/>
      <c r="I8" s="830" t="e">
        <f t="shared" ref="I8:I11" si="3">E8+G8</f>
        <v>#REF!</v>
      </c>
      <c r="J8" s="830">
        <v>133.93199999999999</v>
      </c>
      <c r="K8" s="830"/>
      <c r="L8" s="830">
        <v>338.2</v>
      </c>
      <c r="M8" s="814">
        <v>37.5</v>
      </c>
      <c r="N8" s="830">
        <f t="shared" ref="N8:N11" si="4">M8-L8</f>
        <v>-300.7</v>
      </c>
      <c r="O8" s="832">
        <f>(M8-L8)/L8</f>
        <v>-0.88911886457717326</v>
      </c>
      <c r="P8" s="628" t="s">
        <v>579</v>
      </c>
    </row>
    <row r="9" spans="1:16" ht="17.25" customHeight="1">
      <c r="A9" s="331" t="s">
        <v>11</v>
      </c>
      <c r="B9" s="833" t="s">
        <v>538</v>
      </c>
      <c r="C9" s="829" t="s">
        <v>124</v>
      </c>
      <c r="D9" s="830"/>
      <c r="E9" s="830"/>
      <c r="F9" s="830"/>
      <c r="G9" s="830"/>
      <c r="H9" s="830"/>
      <c r="I9" s="830">
        <f t="shared" si="3"/>
        <v>0</v>
      </c>
      <c r="J9" s="830"/>
      <c r="K9" s="830"/>
      <c r="L9" s="830">
        <v>67.2</v>
      </c>
      <c r="M9" s="814">
        <v>31.052</v>
      </c>
      <c r="N9" s="830">
        <f t="shared" si="4"/>
        <v>-36.148000000000003</v>
      </c>
      <c r="O9" s="832">
        <f t="shared" ref="O9:O48" si="5">(M9-L9)/L9</f>
        <v>-0.53791666666666671</v>
      </c>
      <c r="P9" s="628" t="s">
        <v>579</v>
      </c>
    </row>
    <row r="10" spans="1:16" ht="17.25" customHeight="1">
      <c r="A10" s="331" t="s">
        <v>13</v>
      </c>
      <c r="B10" s="815" t="s">
        <v>15</v>
      </c>
      <c r="C10" s="829" t="s">
        <v>124</v>
      </c>
      <c r="D10" s="830"/>
      <c r="E10" s="830"/>
      <c r="F10" s="830"/>
      <c r="G10" s="830"/>
      <c r="H10" s="830"/>
      <c r="I10" s="830">
        <f t="shared" si="3"/>
        <v>0</v>
      </c>
      <c r="J10" s="830"/>
      <c r="K10" s="830"/>
      <c r="L10" s="830">
        <v>128.80000000000001</v>
      </c>
      <c r="M10" s="814">
        <v>3.5840000000000001</v>
      </c>
      <c r="N10" s="830">
        <f t="shared" si="4"/>
        <v>-125.21600000000001</v>
      </c>
      <c r="O10" s="832">
        <f t="shared" si="5"/>
        <v>-0.97217391304347822</v>
      </c>
      <c r="P10" s="628" t="s">
        <v>579</v>
      </c>
    </row>
    <row r="11" spans="1:16" ht="17.25" customHeight="1">
      <c r="A11" s="331" t="s">
        <v>14</v>
      </c>
      <c r="B11" s="628" t="s">
        <v>511</v>
      </c>
      <c r="C11" s="829" t="s">
        <v>124</v>
      </c>
      <c r="D11" s="830"/>
      <c r="E11" s="830"/>
      <c r="F11" s="830"/>
      <c r="G11" s="830"/>
      <c r="H11" s="830"/>
      <c r="I11" s="830">
        <f t="shared" si="3"/>
        <v>0</v>
      </c>
      <c r="J11" s="830"/>
      <c r="K11" s="830"/>
      <c r="L11" s="830">
        <v>30.5</v>
      </c>
      <c r="M11" s="814">
        <v>29.734999999999999</v>
      </c>
      <c r="N11" s="830">
        <f t="shared" si="4"/>
        <v>-0.76500000000000057</v>
      </c>
      <c r="O11" s="832">
        <f t="shared" si="5"/>
        <v>-2.5081967213114773E-2</v>
      </c>
      <c r="P11" s="628" t="s">
        <v>579</v>
      </c>
    </row>
    <row r="12" spans="1:16" s="10" customFormat="1" ht="17.25" customHeight="1">
      <c r="A12" s="427">
        <v>2</v>
      </c>
      <c r="B12" s="127" t="s">
        <v>126</v>
      </c>
      <c r="C12" s="125" t="s">
        <v>130</v>
      </c>
      <c r="D12" s="622">
        <f>SUM(D13:D15)</f>
        <v>2903.96</v>
      </c>
      <c r="E12" s="622" t="e">
        <f>SUM(E13:E15)</f>
        <v>#REF!</v>
      </c>
      <c r="F12" s="622">
        <f t="shared" ref="F12:N12" si="6">SUM(F13:F15)</f>
        <v>22836.400000000001</v>
      </c>
      <c r="G12" s="622">
        <f t="shared" si="6"/>
        <v>18591.255992535196</v>
      </c>
      <c r="H12" s="622">
        <f t="shared" si="6"/>
        <v>0</v>
      </c>
      <c r="I12" s="622" t="e">
        <f t="shared" si="6"/>
        <v>#REF!</v>
      </c>
      <c r="J12" s="622">
        <f t="shared" si="6"/>
        <v>8542.0479999999989</v>
      </c>
      <c r="K12" s="622">
        <f t="shared" si="6"/>
        <v>0</v>
      </c>
      <c r="L12" s="622">
        <f>SUM(L13:L15)</f>
        <v>26363.3</v>
      </c>
      <c r="M12" s="623">
        <f t="shared" si="6"/>
        <v>4352.4280000000008</v>
      </c>
      <c r="N12" s="623">
        <f t="shared" si="6"/>
        <v>-22010.871999999996</v>
      </c>
      <c r="O12" s="624">
        <f t="shared" si="5"/>
        <v>-0.83490579707396262</v>
      </c>
      <c r="P12" s="628"/>
    </row>
    <row r="13" spans="1:16" ht="17.25" customHeight="1">
      <c r="A13" s="331" t="s">
        <v>19</v>
      </c>
      <c r="B13" s="628" t="s">
        <v>425</v>
      </c>
      <c r="C13" s="829" t="s">
        <v>130</v>
      </c>
      <c r="D13" s="830">
        <v>2648.12</v>
      </c>
      <c r="E13" s="830" t="e">
        <f>D13*$E$68</f>
        <v>#REF!</v>
      </c>
      <c r="F13" s="830">
        <v>20573.3</v>
      </c>
      <c r="G13" s="830">
        <f>F13*$G$87</f>
        <v>16748.852135679193</v>
      </c>
      <c r="H13" s="830"/>
      <c r="I13" s="830" t="e">
        <f>E13+G13</f>
        <v>#REF!</v>
      </c>
      <c r="J13" s="843">
        <f>4600.141+1832.358+1345.366</f>
        <v>7777.8649999999998</v>
      </c>
      <c r="K13" s="843"/>
      <c r="L13" s="830">
        <v>23988.44</v>
      </c>
      <c r="M13" s="814">
        <v>3955.009</v>
      </c>
      <c r="N13" s="830">
        <f>M13-L13</f>
        <v>-20033.430999999997</v>
      </c>
      <c r="O13" s="832">
        <f t="shared" si="5"/>
        <v>-0.83512854524929503</v>
      </c>
      <c r="P13" s="628" t="s">
        <v>579</v>
      </c>
    </row>
    <row r="14" spans="1:16" ht="17.25" customHeight="1">
      <c r="A14" s="331" t="s">
        <v>21</v>
      </c>
      <c r="B14" s="628" t="s">
        <v>127</v>
      </c>
      <c r="C14" s="829" t="s">
        <v>124</v>
      </c>
      <c r="D14" s="830">
        <v>139.54</v>
      </c>
      <c r="E14" s="830" t="e">
        <f>D14*$E$68</f>
        <v>#REF!</v>
      </c>
      <c r="F14" s="830">
        <v>1234.4000000000001</v>
      </c>
      <c r="G14" s="830">
        <f>F14*$G$87</f>
        <v>1004.932756353254</v>
      </c>
      <c r="H14" s="830"/>
      <c r="I14" s="830" t="e">
        <f>E14+G14</f>
        <v>#REF!</v>
      </c>
      <c r="J14" s="843">
        <f>327.854+95.807+73.961</f>
        <v>497.62200000000001</v>
      </c>
      <c r="K14" s="843"/>
      <c r="L14" s="830">
        <v>1295.3800000000001</v>
      </c>
      <c r="M14" s="814">
        <v>219.99299999999999</v>
      </c>
      <c r="N14" s="830">
        <f t="shared" ref="N14:N15" si="7">M14-L14</f>
        <v>-1075.3870000000002</v>
      </c>
      <c r="O14" s="832">
        <f t="shared" si="5"/>
        <v>-0.8301710694931218</v>
      </c>
      <c r="P14" s="628" t="s">
        <v>579</v>
      </c>
    </row>
    <row r="15" spans="1:16" ht="17.25" customHeight="1">
      <c r="A15" s="331" t="s">
        <v>23</v>
      </c>
      <c r="B15" s="828" t="s">
        <v>128</v>
      </c>
      <c r="C15" s="829" t="s">
        <v>124</v>
      </c>
      <c r="D15" s="830">
        <v>116.3</v>
      </c>
      <c r="E15" s="830" t="e">
        <f>D15*$E$68</f>
        <v>#REF!</v>
      </c>
      <c r="F15" s="830">
        <v>1028.7</v>
      </c>
      <c r="G15" s="830">
        <f>F15*$G$87</f>
        <v>837.47110050274819</v>
      </c>
      <c r="H15" s="830"/>
      <c r="I15" s="830" t="e">
        <f>E15+G15</f>
        <v>#REF!</v>
      </c>
      <c r="J15" s="843">
        <f>125.081+79.844+61.636</f>
        <v>266.56100000000004</v>
      </c>
      <c r="K15" s="843"/>
      <c r="L15" s="830">
        <v>1079.48</v>
      </c>
      <c r="M15" s="814">
        <v>177.42599999999999</v>
      </c>
      <c r="N15" s="830">
        <f t="shared" si="7"/>
        <v>-902.05400000000009</v>
      </c>
      <c r="O15" s="832">
        <f t="shared" si="5"/>
        <v>-0.83563752918071665</v>
      </c>
      <c r="P15" s="628" t="s">
        <v>579</v>
      </c>
    </row>
    <row r="16" spans="1:16" s="10" customFormat="1" ht="17.25" customHeight="1">
      <c r="A16" s="844">
        <v>3</v>
      </c>
      <c r="B16" s="651" t="s">
        <v>80</v>
      </c>
      <c r="C16" s="80" t="s">
        <v>124</v>
      </c>
      <c r="D16" s="835">
        <v>246.46</v>
      </c>
      <c r="E16" s="835" t="e">
        <f>D16*$E$68</f>
        <v>#REF!</v>
      </c>
      <c r="F16" s="835">
        <v>2000</v>
      </c>
      <c r="G16" s="835">
        <f>F16*$G$87</f>
        <v>1628.2125021925694</v>
      </c>
      <c r="H16" s="835"/>
      <c r="I16" s="835" t="e">
        <f>E16+G16</f>
        <v>#REF!</v>
      </c>
      <c r="J16" s="835">
        <f>67.431+227.842</f>
        <v>295.27300000000002</v>
      </c>
      <c r="K16" s="835"/>
      <c r="L16" s="835">
        <v>845.6</v>
      </c>
      <c r="M16" s="845">
        <v>281.86700000000002</v>
      </c>
      <c r="N16" s="830">
        <f>M16-L16</f>
        <v>-563.73299999999995</v>
      </c>
      <c r="O16" s="832">
        <f t="shared" si="5"/>
        <v>-0.66666627246925247</v>
      </c>
      <c r="P16" s="628" t="s">
        <v>579</v>
      </c>
    </row>
    <row r="17" spans="1:17" s="10" customFormat="1" ht="18.75" customHeight="1">
      <c r="A17" s="427">
        <v>4</v>
      </c>
      <c r="B17" s="127" t="s">
        <v>283</v>
      </c>
      <c r="C17" s="125" t="s">
        <v>130</v>
      </c>
      <c r="D17" s="622">
        <f>D18</f>
        <v>0</v>
      </c>
      <c r="E17" s="622" t="e">
        <f>E18</f>
        <v>#REF!</v>
      </c>
      <c r="F17" s="622">
        <f t="shared" ref="F17:N17" si="8">F18</f>
        <v>1478</v>
      </c>
      <c r="G17" s="622">
        <f t="shared" si="8"/>
        <v>1203.2490391203089</v>
      </c>
      <c r="H17" s="622">
        <f t="shared" si="8"/>
        <v>0</v>
      </c>
      <c r="I17" s="622" t="e">
        <f t="shared" si="8"/>
        <v>#REF!</v>
      </c>
      <c r="J17" s="622">
        <f t="shared" si="8"/>
        <v>286.07600000000002</v>
      </c>
      <c r="K17" s="622">
        <f t="shared" si="8"/>
        <v>0</v>
      </c>
      <c r="L17" s="622">
        <f>L18</f>
        <v>1885.76</v>
      </c>
      <c r="M17" s="623">
        <f t="shared" si="8"/>
        <v>0</v>
      </c>
      <c r="N17" s="623">
        <f t="shared" si="8"/>
        <v>-1885.76</v>
      </c>
      <c r="O17" s="624">
        <f t="shared" si="5"/>
        <v>-1</v>
      </c>
      <c r="P17" s="628"/>
    </row>
    <row r="18" spans="1:17" s="10" customFormat="1" ht="33.75" customHeight="1">
      <c r="A18" s="128" t="s">
        <v>26</v>
      </c>
      <c r="B18" s="129" t="s">
        <v>284</v>
      </c>
      <c r="C18" s="130" t="s">
        <v>6</v>
      </c>
      <c r="D18" s="626">
        <f>+[3]Аксу!$D$13</f>
        <v>0</v>
      </c>
      <c r="E18" s="626" t="e">
        <f>D18*$E$68</f>
        <v>#REF!</v>
      </c>
      <c r="F18" s="626">
        <v>1478</v>
      </c>
      <c r="G18" s="626">
        <f>F18*$G$87</f>
        <v>1203.2490391203089</v>
      </c>
      <c r="H18" s="626"/>
      <c r="I18" s="626" t="e">
        <f>E18+G18</f>
        <v>#REF!</v>
      </c>
      <c r="J18" s="629">
        <f>180.321+27.371+19.071+21.172+38.141</f>
        <v>286.07600000000002</v>
      </c>
      <c r="K18" s="629"/>
      <c r="L18" s="626">
        <v>1885.76</v>
      </c>
      <c r="M18" s="627"/>
      <c r="N18" s="626">
        <f>M18-L18</f>
        <v>-1885.76</v>
      </c>
      <c r="O18" s="624">
        <f t="shared" si="5"/>
        <v>-1</v>
      </c>
      <c r="P18" s="628" t="s">
        <v>579</v>
      </c>
    </row>
    <row r="19" spans="1:17" s="10" customFormat="1" ht="16.5" customHeight="1">
      <c r="A19" s="834" t="s">
        <v>285</v>
      </c>
      <c r="B19" s="651" t="s">
        <v>129</v>
      </c>
      <c r="C19" s="80" t="s">
        <v>6</v>
      </c>
      <c r="D19" s="835">
        <f t="shared" ref="D19:N19" si="9">SUM(D20:D24)</f>
        <v>471.86</v>
      </c>
      <c r="E19" s="835" t="e">
        <f t="shared" si="9"/>
        <v>#REF!</v>
      </c>
      <c r="F19" s="835">
        <f t="shared" si="9"/>
        <v>813.8</v>
      </c>
      <c r="G19" s="835">
        <f t="shared" si="9"/>
        <v>662.51966714215655</v>
      </c>
      <c r="H19" s="835">
        <f t="shared" si="9"/>
        <v>0</v>
      </c>
      <c r="I19" s="835" t="e">
        <f t="shared" si="9"/>
        <v>#REF!</v>
      </c>
      <c r="J19" s="835">
        <f t="shared" si="9"/>
        <v>296.822</v>
      </c>
      <c r="K19" s="835">
        <f t="shared" si="9"/>
        <v>0</v>
      </c>
      <c r="L19" s="836">
        <f t="shared" si="9"/>
        <v>1337.22</v>
      </c>
      <c r="M19" s="837">
        <f t="shared" si="9"/>
        <v>200.02999999999997</v>
      </c>
      <c r="N19" s="837">
        <f t="shared" si="9"/>
        <v>-1137.19</v>
      </c>
      <c r="O19" s="832">
        <f t="shared" si="5"/>
        <v>-0.85041354451773088</v>
      </c>
      <c r="P19" s="628"/>
    </row>
    <row r="20" spans="1:17" s="10" customFormat="1" ht="16.5" customHeight="1">
      <c r="A20" s="331" t="s">
        <v>29</v>
      </c>
      <c r="B20" s="628" t="s">
        <v>30</v>
      </c>
      <c r="C20" s="829" t="s">
        <v>130</v>
      </c>
      <c r="D20" s="830"/>
      <c r="E20" s="830"/>
      <c r="F20" s="830">
        <v>77.400000000000006</v>
      </c>
      <c r="G20" s="830">
        <f>F20*$G$87</f>
        <v>63.011823834852443</v>
      </c>
      <c r="H20" s="830"/>
      <c r="I20" s="830">
        <f t="shared" ref="I20:I24" si="10">E20+G20</f>
        <v>63.011823834852443</v>
      </c>
      <c r="J20" s="830">
        <f>20.065+0.67+27.679+13.059</f>
        <v>61.472999999999999</v>
      </c>
      <c r="K20" s="830"/>
      <c r="L20" s="822">
        <v>197.21</v>
      </c>
      <c r="M20" s="831">
        <f>10.453+1.338+52.5+8.675</f>
        <v>72.965999999999994</v>
      </c>
      <c r="N20" s="822">
        <f>M20-L20</f>
        <v>-124.24400000000001</v>
      </c>
      <c r="O20" s="832">
        <f t="shared" si="5"/>
        <v>-0.63000862025252269</v>
      </c>
      <c r="P20" s="628" t="s">
        <v>579</v>
      </c>
    </row>
    <row r="21" spans="1:17" ht="16.5" customHeight="1">
      <c r="A21" s="331" t="s">
        <v>31</v>
      </c>
      <c r="B21" s="828" t="s">
        <v>132</v>
      </c>
      <c r="C21" s="829" t="s">
        <v>130</v>
      </c>
      <c r="D21" s="830"/>
      <c r="E21" s="830"/>
      <c r="F21" s="830">
        <v>487.5</v>
      </c>
      <c r="G21" s="830">
        <f>F21*$G$87</f>
        <v>396.87679740943884</v>
      </c>
      <c r="H21" s="830"/>
      <c r="I21" s="830">
        <f t="shared" si="10"/>
        <v>396.87679740943884</v>
      </c>
      <c r="J21" s="830">
        <v>209.89699999999999</v>
      </c>
      <c r="K21" s="830"/>
      <c r="L21" s="822">
        <v>195.05</v>
      </c>
      <c r="M21" s="831"/>
      <c r="N21" s="822">
        <f t="shared" ref="N21:N24" si="11">M21-L21</f>
        <v>-195.05</v>
      </c>
      <c r="O21" s="832">
        <f t="shared" si="5"/>
        <v>-1</v>
      </c>
      <c r="P21" s="628" t="s">
        <v>579</v>
      </c>
    </row>
    <row r="22" spans="1:17" ht="16.5" customHeight="1">
      <c r="A22" s="331" t="s">
        <v>33</v>
      </c>
      <c r="B22" s="828" t="s">
        <v>403</v>
      </c>
      <c r="C22" s="829" t="s">
        <v>130</v>
      </c>
      <c r="D22" s="830"/>
      <c r="E22" s="830"/>
      <c r="F22" s="830">
        <v>63.3</v>
      </c>
      <c r="G22" s="830">
        <f>F22*$G$87</f>
        <v>51.53292569439482</v>
      </c>
      <c r="H22" s="830"/>
      <c r="I22" s="830">
        <f t="shared" si="10"/>
        <v>51.53292569439482</v>
      </c>
      <c r="J22" s="830"/>
      <c r="K22" s="830"/>
      <c r="L22" s="822">
        <v>25.55</v>
      </c>
      <c r="M22" s="831"/>
      <c r="N22" s="822">
        <f t="shared" si="11"/>
        <v>-25.55</v>
      </c>
      <c r="O22" s="832">
        <f t="shared" si="5"/>
        <v>-1</v>
      </c>
      <c r="P22" s="628" t="s">
        <v>579</v>
      </c>
    </row>
    <row r="23" spans="1:17" ht="16.5" customHeight="1">
      <c r="A23" s="331" t="s">
        <v>35</v>
      </c>
      <c r="B23" s="628" t="s">
        <v>159</v>
      </c>
      <c r="C23" s="829" t="s">
        <v>124</v>
      </c>
      <c r="D23" s="830">
        <v>15.86</v>
      </c>
      <c r="E23" s="830" t="e">
        <f>D23*$E$68</f>
        <v>#REF!</v>
      </c>
      <c r="F23" s="830"/>
      <c r="G23" s="830"/>
      <c r="H23" s="830"/>
      <c r="I23" s="830" t="e">
        <f t="shared" si="10"/>
        <v>#REF!</v>
      </c>
      <c r="J23" s="830">
        <v>25.452000000000002</v>
      </c>
      <c r="K23" s="830"/>
      <c r="L23" s="822">
        <v>178.16</v>
      </c>
      <c r="M23" s="831">
        <v>127.06399999999999</v>
      </c>
      <c r="N23" s="822">
        <f t="shared" si="11"/>
        <v>-51.096000000000004</v>
      </c>
      <c r="O23" s="832">
        <f t="shared" si="5"/>
        <v>-0.28679838347552766</v>
      </c>
      <c r="P23" s="628" t="s">
        <v>579</v>
      </c>
    </row>
    <row r="24" spans="1:17" ht="30" customHeight="1">
      <c r="A24" s="331" t="s">
        <v>36</v>
      </c>
      <c r="B24" s="838" t="s">
        <v>512</v>
      </c>
      <c r="C24" s="829" t="s">
        <v>124</v>
      </c>
      <c r="D24" s="830">
        <v>456</v>
      </c>
      <c r="E24" s="830" t="e">
        <f>D24*$E$68</f>
        <v>#REF!</v>
      </c>
      <c r="F24" s="830">
        <v>185.6</v>
      </c>
      <c r="G24" s="830">
        <f>F24*$G$87</f>
        <v>151.09812020347044</v>
      </c>
      <c r="H24" s="830"/>
      <c r="I24" s="830" t="e">
        <f t="shared" si="10"/>
        <v>#REF!</v>
      </c>
      <c r="J24" s="830"/>
      <c r="K24" s="830"/>
      <c r="L24" s="822">
        <v>741.25</v>
      </c>
      <c r="M24" s="831"/>
      <c r="N24" s="822">
        <f t="shared" si="11"/>
        <v>-741.25</v>
      </c>
      <c r="O24" s="832">
        <f>(M24-L24)/L24</f>
        <v>-1</v>
      </c>
      <c r="P24" s="628" t="s">
        <v>579</v>
      </c>
    </row>
    <row r="25" spans="1:17" ht="19.5" customHeight="1">
      <c r="A25" s="426" t="s">
        <v>82</v>
      </c>
      <c r="B25" s="124" t="s">
        <v>524</v>
      </c>
      <c r="C25" s="125" t="s">
        <v>130</v>
      </c>
      <c r="D25" s="622" t="e">
        <f>D26</f>
        <v>#REF!</v>
      </c>
      <c r="E25" s="622" t="e">
        <f t="shared" ref="E25:K25" si="12">E26</f>
        <v>#REF!</v>
      </c>
      <c r="F25" s="622" t="e">
        <f t="shared" si="12"/>
        <v>#REF!</v>
      </c>
      <c r="G25" s="622" t="e">
        <f t="shared" si="12"/>
        <v>#REF!</v>
      </c>
      <c r="H25" s="622" t="e">
        <f t="shared" si="12"/>
        <v>#REF!</v>
      </c>
      <c r="I25" s="622" t="e">
        <f t="shared" si="12"/>
        <v>#REF!</v>
      </c>
      <c r="J25" s="622" t="e">
        <f t="shared" si="12"/>
        <v>#REF!</v>
      </c>
      <c r="K25" s="622" t="e">
        <f t="shared" si="12"/>
        <v>#REF!</v>
      </c>
      <c r="L25" s="135">
        <f>L26+L30+L39</f>
        <v>5753.4500000000007</v>
      </c>
      <c r="M25" s="391">
        <f>M26+M30+M39</f>
        <v>3424.4909999999995</v>
      </c>
      <c r="N25" s="391">
        <f>N26+N30+N39</f>
        <v>-3383.4059999999999</v>
      </c>
      <c r="O25" s="624">
        <f t="shared" si="5"/>
        <v>-0.40479347174304131</v>
      </c>
      <c r="P25" s="628"/>
    </row>
    <row r="26" spans="1:17" ht="16.5" customHeight="1">
      <c r="A26" s="426">
        <v>6</v>
      </c>
      <c r="B26" s="630" t="s">
        <v>160</v>
      </c>
      <c r="C26" s="631" t="s">
        <v>6</v>
      </c>
      <c r="D26" s="622" t="e">
        <f>#REF!+D30+D39+#REF!</f>
        <v>#REF!</v>
      </c>
      <c r="E26" s="622" t="e">
        <f>#REF!+E30+E39+#REF!</f>
        <v>#REF!</v>
      </c>
      <c r="F26" s="622" t="e">
        <f>#REF!+F30+F39+#REF!</f>
        <v>#REF!</v>
      </c>
      <c r="G26" s="622" t="e">
        <f>#REF!+G30+G39+#REF!</f>
        <v>#REF!</v>
      </c>
      <c r="H26" s="622" t="e">
        <f>#REF!+H30+H39+#REF!</f>
        <v>#REF!</v>
      </c>
      <c r="I26" s="622" t="e">
        <f>#REF!+I30+I39+#REF!</f>
        <v>#REF!</v>
      </c>
      <c r="J26" s="622" t="e">
        <f>#REF!+J30+J39+#REF!</f>
        <v>#REF!</v>
      </c>
      <c r="K26" s="622" t="e">
        <f>#REF!+K30+K39+#REF!</f>
        <v>#REF!</v>
      </c>
      <c r="L26" s="135">
        <f>SUM(L27:L29)</f>
        <v>4220.4800000000005</v>
      </c>
      <c r="M26" s="391">
        <f>SUM(M27:M29)</f>
        <v>2099.7649999999999</v>
      </c>
      <c r="N26" s="391">
        <f>SUM(N27:N29)</f>
        <v>-2120.7149999999997</v>
      </c>
      <c r="O26" s="624">
        <f t="shared" si="5"/>
        <v>-0.50248194518159084</v>
      </c>
      <c r="P26" s="628"/>
    </row>
    <row r="27" spans="1:17" s="11" customFormat="1" ht="16.5" customHeight="1">
      <c r="A27" s="840" t="s">
        <v>44</v>
      </c>
      <c r="B27" s="841" t="s">
        <v>162</v>
      </c>
      <c r="C27" s="842" t="s">
        <v>6</v>
      </c>
      <c r="D27" s="830"/>
      <c r="E27" s="830"/>
      <c r="F27" s="830">
        <v>3840.3</v>
      </c>
      <c r="G27" s="830" t="e">
        <f>F27*$G$87+F27*$G$90</f>
        <v>#REF!</v>
      </c>
      <c r="H27" s="830"/>
      <c r="I27" s="830" t="e">
        <f>E27+G27</f>
        <v>#REF!</v>
      </c>
      <c r="J27" s="830">
        <v>1285.6030000000001</v>
      </c>
      <c r="K27" s="830"/>
      <c r="L27" s="822">
        <v>3840.29</v>
      </c>
      <c r="M27" s="831">
        <v>1907.808</v>
      </c>
      <c r="N27" s="822">
        <f>M27-L27</f>
        <v>-1932.482</v>
      </c>
      <c r="O27" s="832">
        <f t="shared" si="5"/>
        <v>-0.50321251780464493</v>
      </c>
      <c r="P27" s="628" t="s">
        <v>579</v>
      </c>
    </row>
    <row r="28" spans="1:17" s="11" customFormat="1" ht="16.5" customHeight="1">
      <c r="A28" s="840" t="s">
        <v>47</v>
      </c>
      <c r="B28" s="841" t="s">
        <v>163</v>
      </c>
      <c r="C28" s="842" t="s">
        <v>6</v>
      </c>
      <c r="D28" s="830"/>
      <c r="E28" s="830"/>
      <c r="F28" s="830">
        <v>230.4</v>
      </c>
      <c r="G28" s="830" t="e">
        <f>F28*$G$87+F28*$G$90</f>
        <v>#REF!</v>
      </c>
      <c r="H28" s="830"/>
      <c r="I28" s="830" t="e">
        <f>E28+G28</f>
        <v>#REF!</v>
      </c>
      <c r="J28" s="830">
        <v>67.805999999999997</v>
      </c>
      <c r="K28" s="830"/>
      <c r="L28" s="822">
        <v>207.38</v>
      </c>
      <c r="M28" s="831">
        <v>104.70399999999999</v>
      </c>
      <c r="N28" s="822">
        <f t="shared" ref="N28:N29" si="13">M28-L28</f>
        <v>-102.676</v>
      </c>
      <c r="O28" s="832">
        <f t="shared" si="5"/>
        <v>-0.4951104253062012</v>
      </c>
      <c r="P28" s="628" t="s">
        <v>579</v>
      </c>
    </row>
    <row r="29" spans="1:17" s="11" customFormat="1" ht="16.5" customHeight="1">
      <c r="A29" s="840" t="s">
        <v>48</v>
      </c>
      <c r="B29" s="841" t="s">
        <v>128</v>
      </c>
      <c r="C29" s="842" t="s">
        <v>6</v>
      </c>
      <c r="D29" s="830"/>
      <c r="E29" s="830"/>
      <c r="F29" s="830">
        <v>192</v>
      </c>
      <c r="G29" s="830" t="e">
        <f>F29*$G$87+F29*$G$90</f>
        <v>#REF!</v>
      </c>
      <c r="H29" s="830"/>
      <c r="I29" s="830" t="e">
        <f>E29+G29</f>
        <v>#REF!</v>
      </c>
      <c r="J29" s="830">
        <v>56.506999999999998</v>
      </c>
      <c r="K29" s="830"/>
      <c r="L29" s="822">
        <v>172.81</v>
      </c>
      <c r="M29" s="831">
        <v>87.253</v>
      </c>
      <c r="N29" s="822">
        <f t="shared" si="13"/>
        <v>-85.557000000000002</v>
      </c>
      <c r="O29" s="832">
        <f t="shared" si="5"/>
        <v>-0.49509287656964296</v>
      </c>
      <c r="P29" s="628" t="s">
        <v>579</v>
      </c>
    </row>
    <row r="30" spans="1:17" s="11" customFormat="1" ht="16.5" customHeight="1">
      <c r="A30" s="498" t="s">
        <v>118</v>
      </c>
      <c r="B30" s="630" t="s">
        <v>164</v>
      </c>
      <c r="C30" s="631" t="s">
        <v>6</v>
      </c>
      <c r="D30" s="622">
        <f>SUM(D31:D37)</f>
        <v>311.94</v>
      </c>
      <c r="E30" s="622" t="e">
        <f>SUM(E31:E37)</f>
        <v>#REF!</v>
      </c>
      <c r="F30" s="622">
        <f t="shared" ref="F30:N30" si="14">SUM(F31:F37)</f>
        <v>920.58000000000015</v>
      </c>
      <c r="G30" s="622" t="e">
        <f t="shared" si="14"/>
        <v>#REF!</v>
      </c>
      <c r="H30" s="622">
        <f t="shared" si="14"/>
        <v>0</v>
      </c>
      <c r="I30" s="622" t="e">
        <f t="shared" si="14"/>
        <v>#REF!</v>
      </c>
      <c r="J30" s="622">
        <f t="shared" si="14"/>
        <v>187.68299999999999</v>
      </c>
      <c r="K30" s="622">
        <f t="shared" si="14"/>
        <v>0</v>
      </c>
      <c r="L30" s="135">
        <f>SUM(L31:L38)</f>
        <v>1118.1399999999999</v>
      </c>
      <c r="M30" s="391">
        <f>SUM(M31:M38)</f>
        <v>33.977000000000004</v>
      </c>
      <c r="N30" s="391">
        <f t="shared" si="14"/>
        <v>-1111.6510000000001</v>
      </c>
      <c r="O30" s="624">
        <f t="shared" si="5"/>
        <v>-0.96961292861359039</v>
      </c>
      <c r="P30" s="628"/>
    </row>
    <row r="31" spans="1:17" s="11" customFormat="1" ht="16.5" customHeight="1">
      <c r="A31" s="840" t="s">
        <v>120</v>
      </c>
      <c r="B31" s="841" t="s">
        <v>51</v>
      </c>
      <c r="C31" s="842" t="s">
        <v>6</v>
      </c>
      <c r="D31" s="830">
        <v>311.94</v>
      </c>
      <c r="E31" s="830" t="e">
        <f>D31*$E$68</f>
        <v>#REF!</v>
      </c>
      <c r="F31" s="830">
        <v>881.58</v>
      </c>
      <c r="G31" s="830" t="e">
        <f>F31*$G$87+F31*$G$90</f>
        <v>#REF!</v>
      </c>
      <c r="H31" s="830"/>
      <c r="I31" s="830" t="e">
        <f>E31+G31</f>
        <v>#REF!</v>
      </c>
      <c r="J31" s="830">
        <v>167.94800000000001</v>
      </c>
      <c r="K31" s="830"/>
      <c r="L31" s="822">
        <v>1000</v>
      </c>
      <c r="M31" s="831"/>
      <c r="N31" s="822">
        <f>M31-L31</f>
        <v>-1000</v>
      </c>
      <c r="O31" s="832">
        <f t="shared" si="5"/>
        <v>-1</v>
      </c>
      <c r="P31" s="628" t="s">
        <v>579</v>
      </c>
    </row>
    <row r="32" spans="1:17" ht="16.5" customHeight="1">
      <c r="A32" s="840" t="s">
        <v>121</v>
      </c>
      <c r="B32" s="628" t="s">
        <v>34</v>
      </c>
      <c r="C32" s="829" t="s">
        <v>124</v>
      </c>
      <c r="D32" s="830"/>
      <c r="E32" s="830"/>
      <c r="F32" s="830">
        <v>10.7</v>
      </c>
      <c r="G32" s="830" t="e">
        <f>F32*$G$87+F32*$G$90</f>
        <v>#REF!</v>
      </c>
      <c r="H32" s="830"/>
      <c r="I32" s="830" t="e">
        <f>E32+G32</f>
        <v>#REF!</v>
      </c>
      <c r="J32" s="830">
        <v>3.5089999999999999</v>
      </c>
      <c r="K32" s="830"/>
      <c r="L32" s="822">
        <v>8.67</v>
      </c>
      <c r="M32" s="831">
        <v>6.4889999999999999</v>
      </c>
      <c r="N32" s="822">
        <f t="shared" ref="N32:N37" si="15">M32-L32</f>
        <v>-2.181</v>
      </c>
      <c r="O32" s="832">
        <f t="shared" si="5"/>
        <v>-0.25155709342560556</v>
      </c>
      <c r="P32" s="628" t="s">
        <v>579</v>
      </c>
      <c r="Q32" s="303"/>
    </row>
    <row r="33" spans="1:17" s="11" customFormat="1" ht="16.5" customHeight="1">
      <c r="A33" s="840" t="s">
        <v>220</v>
      </c>
      <c r="B33" s="841" t="s">
        <v>52</v>
      </c>
      <c r="C33" s="842" t="s">
        <v>6</v>
      </c>
      <c r="D33" s="830"/>
      <c r="E33" s="830"/>
      <c r="F33" s="830">
        <v>3.7</v>
      </c>
      <c r="G33" s="830" t="e">
        <f>F33*$G$87+F33*$G$90</f>
        <v>#REF!</v>
      </c>
      <c r="H33" s="830"/>
      <c r="I33" s="830" t="e">
        <f>E33+G33</f>
        <v>#REF!</v>
      </c>
      <c r="J33" s="830"/>
      <c r="K33" s="830"/>
      <c r="L33" s="822">
        <v>84.89</v>
      </c>
      <c r="M33" s="831"/>
      <c r="N33" s="822">
        <f t="shared" si="15"/>
        <v>-84.89</v>
      </c>
      <c r="O33" s="832">
        <f t="shared" si="5"/>
        <v>-1</v>
      </c>
      <c r="P33" s="628" t="s">
        <v>579</v>
      </c>
    </row>
    <row r="34" spans="1:17" s="11" customFormat="1" ht="16.5" customHeight="1">
      <c r="A34" s="840" t="s">
        <v>222</v>
      </c>
      <c r="B34" s="841" t="s">
        <v>410</v>
      </c>
      <c r="C34" s="842" t="s">
        <v>6</v>
      </c>
      <c r="D34" s="830"/>
      <c r="E34" s="830"/>
      <c r="F34" s="830"/>
      <c r="G34" s="830"/>
      <c r="H34" s="830"/>
      <c r="I34" s="830"/>
      <c r="J34" s="830"/>
      <c r="K34" s="830"/>
      <c r="L34" s="822"/>
      <c r="M34" s="831">
        <v>8.73</v>
      </c>
      <c r="N34" s="822"/>
      <c r="O34" s="832"/>
      <c r="P34" s="628" t="s">
        <v>579</v>
      </c>
    </row>
    <row r="35" spans="1:17" s="11" customFormat="1" ht="16.5" customHeight="1">
      <c r="A35" s="840" t="s">
        <v>224</v>
      </c>
      <c r="B35" s="841" t="s">
        <v>479</v>
      </c>
      <c r="C35" s="842" t="s">
        <v>6</v>
      </c>
      <c r="D35" s="830"/>
      <c r="E35" s="830"/>
      <c r="F35" s="830">
        <v>8.4</v>
      </c>
      <c r="G35" s="830" t="e">
        <f>F35*$G$87+F35*$G$90</f>
        <v>#REF!</v>
      </c>
      <c r="H35" s="830"/>
      <c r="I35" s="830" t="e">
        <f>E35+G35</f>
        <v>#REF!</v>
      </c>
      <c r="J35" s="830"/>
      <c r="K35" s="830"/>
      <c r="L35" s="822">
        <v>16.23</v>
      </c>
      <c r="M35" s="831"/>
      <c r="N35" s="822">
        <f t="shared" si="15"/>
        <v>-16.23</v>
      </c>
      <c r="O35" s="832">
        <f t="shared" si="5"/>
        <v>-1</v>
      </c>
      <c r="P35" s="628" t="s">
        <v>579</v>
      </c>
    </row>
    <row r="36" spans="1:17" s="11" customFormat="1" ht="16.5" customHeight="1">
      <c r="A36" s="840" t="s">
        <v>226</v>
      </c>
      <c r="B36" s="841" t="s">
        <v>566</v>
      </c>
      <c r="C36" s="842" t="s">
        <v>6</v>
      </c>
      <c r="D36" s="830"/>
      <c r="E36" s="830"/>
      <c r="F36" s="830"/>
      <c r="G36" s="830"/>
      <c r="H36" s="830"/>
      <c r="I36" s="830"/>
      <c r="J36" s="830"/>
      <c r="K36" s="830"/>
      <c r="L36" s="822"/>
      <c r="M36" s="831">
        <v>16.670000000000002</v>
      </c>
      <c r="N36" s="822"/>
      <c r="O36" s="832"/>
      <c r="P36" s="628" t="s">
        <v>579</v>
      </c>
    </row>
    <row r="37" spans="1:17" s="11" customFormat="1" ht="16.5" customHeight="1">
      <c r="A37" s="840" t="s">
        <v>227</v>
      </c>
      <c r="B37" s="841" t="s">
        <v>53</v>
      </c>
      <c r="C37" s="842" t="s">
        <v>6</v>
      </c>
      <c r="D37" s="830"/>
      <c r="E37" s="830"/>
      <c r="F37" s="830">
        <v>16.2</v>
      </c>
      <c r="G37" s="830" t="e">
        <f>F37*$G$87+F37*$G$90</f>
        <v>#REF!</v>
      </c>
      <c r="H37" s="830"/>
      <c r="I37" s="830" t="e">
        <f>E37+G37</f>
        <v>#REF!</v>
      </c>
      <c r="J37" s="830">
        <v>16.225999999999999</v>
      </c>
      <c r="K37" s="830"/>
      <c r="L37" s="822">
        <v>8.35</v>
      </c>
      <c r="M37" s="831"/>
      <c r="N37" s="822">
        <f t="shared" si="15"/>
        <v>-8.35</v>
      </c>
      <c r="O37" s="832">
        <f t="shared" si="5"/>
        <v>-1</v>
      </c>
      <c r="P37" s="628" t="s">
        <v>579</v>
      </c>
    </row>
    <row r="38" spans="1:17" s="11" customFormat="1" ht="16.5" customHeight="1">
      <c r="A38" s="840" t="s">
        <v>228</v>
      </c>
      <c r="B38" s="841" t="s">
        <v>411</v>
      </c>
      <c r="C38" s="842" t="s">
        <v>6</v>
      </c>
      <c r="D38" s="830"/>
      <c r="E38" s="830"/>
      <c r="F38" s="830"/>
      <c r="G38" s="830"/>
      <c r="H38" s="830"/>
      <c r="I38" s="830"/>
      <c r="J38" s="830"/>
      <c r="K38" s="830"/>
      <c r="L38" s="822"/>
      <c r="M38" s="831">
        <v>2.0880000000000001</v>
      </c>
      <c r="N38" s="822"/>
      <c r="O38" s="832"/>
      <c r="P38" s="628" t="s">
        <v>579</v>
      </c>
    </row>
    <row r="39" spans="1:17" s="10" customFormat="1" ht="20.25" customHeight="1">
      <c r="A39" s="138" t="s">
        <v>299</v>
      </c>
      <c r="B39" s="141" t="s">
        <v>133</v>
      </c>
      <c r="C39" s="125" t="s">
        <v>124</v>
      </c>
      <c r="D39" s="633">
        <f t="shared" ref="D39:K39" si="16">SUM(D40:D42)</f>
        <v>0</v>
      </c>
      <c r="E39" s="633">
        <f t="shared" si="16"/>
        <v>0</v>
      </c>
      <c r="F39" s="633">
        <f t="shared" si="16"/>
        <v>170</v>
      </c>
      <c r="G39" s="633" t="e">
        <f t="shared" si="16"/>
        <v>#REF!</v>
      </c>
      <c r="H39" s="633">
        <f t="shared" si="16"/>
        <v>0</v>
      </c>
      <c r="I39" s="633" t="e">
        <f t="shared" si="16"/>
        <v>#REF!</v>
      </c>
      <c r="J39" s="633">
        <f t="shared" si="16"/>
        <v>77.198999999999998</v>
      </c>
      <c r="K39" s="633">
        <f t="shared" si="16"/>
        <v>0</v>
      </c>
      <c r="L39" s="634">
        <f>SUM(L40:L47)</f>
        <v>414.83</v>
      </c>
      <c r="M39" s="635">
        <f>SUM(M40:M47)</f>
        <v>1290.7489999999998</v>
      </c>
      <c r="N39" s="635">
        <f>SUM(N40:N42)</f>
        <v>-151.04</v>
      </c>
      <c r="O39" s="624">
        <f t="shared" si="5"/>
        <v>2.1115131499650457</v>
      </c>
      <c r="P39" s="628"/>
    </row>
    <row r="40" spans="1:17" ht="17.25" customHeight="1">
      <c r="A40" s="331" t="s">
        <v>300</v>
      </c>
      <c r="B40" s="828" t="s">
        <v>534</v>
      </c>
      <c r="C40" s="829" t="s">
        <v>124</v>
      </c>
      <c r="D40" s="830"/>
      <c r="E40" s="830"/>
      <c r="F40" s="830">
        <v>75.7</v>
      </c>
      <c r="G40" s="830" t="e">
        <f>F40*$G$87+F40*$G$90</f>
        <v>#REF!</v>
      </c>
      <c r="H40" s="830"/>
      <c r="I40" s="830" t="e">
        <f>E40+G40</f>
        <v>#REF!</v>
      </c>
      <c r="J40" s="830">
        <v>77.198999999999998</v>
      </c>
      <c r="K40" s="830"/>
      <c r="L40" s="822">
        <v>17.5</v>
      </c>
      <c r="M40" s="831"/>
      <c r="N40" s="822">
        <f t="shared" ref="N40:N42" si="17">M40-L40</f>
        <v>-17.5</v>
      </c>
      <c r="O40" s="832">
        <f t="shared" si="5"/>
        <v>-1</v>
      </c>
      <c r="P40" s="628" t="s">
        <v>579</v>
      </c>
    </row>
    <row r="41" spans="1:17" ht="17.25" customHeight="1">
      <c r="A41" s="331" t="s">
        <v>301</v>
      </c>
      <c r="B41" s="628" t="s">
        <v>539</v>
      </c>
      <c r="C41" s="829" t="s">
        <v>124</v>
      </c>
      <c r="D41" s="830"/>
      <c r="E41" s="830"/>
      <c r="F41" s="830">
        <v>64.3</v>
      </c>
      <c r="G41" s="830" t="e">
        <f>F41*$G$87+F41*$G$90</f>
        <v>#REF!</v>
      </c>
      <c r="H41" s="830"/>
      <c r="I41" s="830" t="e">
        <f>E41+G41</f>
        <v>#REF!</v>
      </c>
      <c r="J41" s="830"/>
      <c r="K41" s="830"/>
      <c r="L41" s="822">
        <v>80.05</v>
      </c>
      <c r="M41" s="831"/>
      <c r="N41" s="822">
        <f t="shared" si="17"/>
        <v>-80.05</v>
      </c>
      <c r="O41" s="832">
        <f t="shared" si="5"/>
        <v>-1</v>
      </c>
      <c r="P41" s="628" t="s">
        <v>579</v>
      </c>
    </row>
    <row r="42" spans="1:17" ht="17.25" customHeight="1">
      <c r="A42" s="331" t="s">
        <v>382</v>
      </c>
      <c r="B42" s="628" t="s">
        <v>57</v>
      </c>
      <c r="C42" s="829" t="s">
        <v>124</v>
      </c>
      <c r="D42" s="830"/>
      <c r="E42" s="830"/>
      <c r="F42" s="830">
        <v>30</v>
      </c>
      <c r="G42" s="830" t="e">
        <f>F42*$G$87+F42*$G$90</f>
        <v>#REF!</v>
      </c>
      <c r="H42" s="830"/>
      <c r="I42" s="830" t="e">
        <f>E42+G42</f>
        <v>#REF!</v>
      </c>
      <c r="J42" s="830"/>
      <c r="K42" s="830"/>
      <c r="L42" s="822">
        <v>53.49</v>
      </c>
      <c r="M42" s="831"/>
      <c r="N42" s="822">
        <f t="shared" si="17"/>
        <v>-53.49</v>
      </c>
      <c r="O42" s="832">
        <f t="shared" si="5"/>
        <v>-1</v>
      </c>
      <c r="P42" s="628" t="s">
        <v>579</v>
      </c>
    </row>
    <row r="43" spans="1:17" ht="17.25" customHeight="1">
      <c r="A43" s="331" t="s">
        <v>383</v>
      </c>
      <c r="B43" s="838" t="s">
        <v>55</v>
      </c>
      <c r="C43" s="829" t="s">
        <v>124</v>
      </c>
      <c r="D43" s="830"/>
      <c r="E43" s="830"/>
      <c r="F43" s="830"/>
      <c r="G43" s="830"/>
      <c r="H43" s="830"/>
      <c r="I43" s="830"/>
      <c r="J43" s="830">
        <v>10.5</v>
      </c>
      <c r="K43" s="830"/>
      <c r="L43" s="822">
        <v>136.43</v>
      </c>
      <c r="M43" s="831">
        <f>37.628-0.42</f>
        <v>37.207999999999998</v>
      </c>
      <c r="N43" s="822">
        <f>M43-L43</f>
        <v>-99.222000000000008</v>
      </c>
      <c r="O43" s="832">
        <f t="shared" si="5"/>
        <v>-0.7272740599574874</v>
      </c>
      <c r="P43" s="628" t="s">
        <v>579</v>
      </c>
    </row>
    <row r="44" spans="1:17" ht="17.25" customHeight="1">
      <c r="A44" s="331" t="s">
        <v>384</v>
      </c>
      <c r="B44" s="839" t="s">
        <v>535</v>
      </c>
      <c r="C44" s="829" t="s">
        <v>124</v>
      </c>
      <c r="D44" s="830"/>
      <c r="E44" s="830"/>
      <c r="F44" s="830"/>
      <c r="G44" s="830"/>
      <c r="H44" s="830"/>
      <c r="I44" s="830"/>
      <c r="J44" s="830"/>
      <c r="K44" s="830"/>
      <c r="L44" s="822">
        <v>73.569999999999993</v>
      </c>
      <c r="M44" s="831">
        <v>6.22</v>
      </c>
      <c r="N44" s="822">
        <f t="shared" ref="N44:N47" si="18">M44-L44</f>
        <v>-67.349999999999994</v>
      </c>
      <c r="O44" s="832">
        <f t="shared" si="5"/>
        <v>-0.91545466902269945</v>
      </c>
      <c r="P44" s="628" t="s">
        <v>579</v>
      </c>
    </row>
    <row r="45" spans="1:17" ht="31.5">
      <c r="A45" s="331" t="s">
        <v>385</v>
      </c>
      <c r="B45" s="838" t="s">
        <v>542</v>
      </c>
      <c r="C45" s="829" t="s">
        <v>58</v>
      </c>
      <c r="D45" s="830"/>
      <c r="E45" s="830"/>
      <c r="F45" s="830"/>
      <c r="G45" s="830"/>
      <c r="H45" s="830"/>
      <c r="I45" s="830"/>
      <c r="J45" s="830">
        <v>5.76</v>
      </c>
      <c r="K45" s="830"/>
      <c r="L45" s="822">
        <v>22.4</v>
      </c>
      <c r="M45" s="831"/>
      <c r="N45" s="822">
        <f t="shared" si="18"/>
        <v>-22.4</v>
      </c>
      <c r="O45" s="832">
        <f t="shared" si="5"/>
        <v>-1</v>
      </c>
      <c r="P45" s="628" t="s">
        <v>579</v>
      </c>
    </row>
    <row r="46" spans="1:17" ht="16.5" customHeight="1">
      <c r="A46" s="331" t="s">
        <v>540</v>
      </c>
      <c r="B46" s="838" t="s">
        <v>56</v>
      </c>
      <c r="C46" s="829" t="s">
        <v>58</v>
      </c>
      <c r="D46" s="830"/>
      <c r="E46" s="830"/>
      <c r="F46" s="830"/>
      <c r="G46" s="830"/>
      <c r="H46" s="830"/>
      <c r="I46" s="830"/>
      <c r="J46" s="830"/>
      <c r="K46" s="830"/>
      <c r="L46" s="822">
        <v>31.39</v>
      </c>
      <c r="M46" s="831"/>
      <c r="N46" s="822">
        <f t="shared" si="18"/>
        <v>-31.39</v>
      </c>
      <c r="O46" s="832">
        <f t="shared" si="5"/>
        <v>-1</v>
      </c>
      <c r="P46" s="628" t="s">
        <v>579</v>
      </c>
    </row>
    <row r="47" spans="1:17" ht="16.5" customHeight="1">
      <c r="A47" s="331" t="s">
        <v>541</v>
      </c>
      <c r="B47" s="838" t="s">
        <v>565</v>
      </c>
      <c r="C47" s="829" t="s">
        <v>58</v>
      </c>
      <c r="D47" s="835"/>
      <c r="E47" s="835"/>
      <c r="F47" s="835"/>
      <c r="G47" s="835"/>
      <c r="H47" s="835"/>
      <c r="I47" s="835"/>
      <c r="J47" s="835"/>
      <c r="K47" s="835"/>
      <c r="L47" s="836"/>
      <c r="M47" s="831">
        <v>1247.3209999999999</v>
      </c>
      <c r="N47" s="822">
        <f t="shared" si="18"/>
        <v>1247.3209999999999</v>
      </c>
      <c r="O47" s="832"/>
      <c r="P47" s="628" t="s">
        <v>579</v>
      </c>
    </row>
    <row r="48" spans="1:17" s="10" customFormat="1" ht="16.5" customHeight="1">
      <c r="A48" s="426" t="s">
        <v>135</v>
      </c>
      <c r="B48" s="127" t="s">
        <v>351</v>
      </c>
      <c r="C48" s="125" t="s">
        <v>130</v>
      </c>
      <c r="D48" s="622" t="e">
        <f t="shared" ref="D48:N48" si="19">SUM(D6,D25)</f>
        <v>#REF!</v>
      </c>
      <c r="E48" s="636" t="e">
        <f t="shared" si="19"/>
        <v>#REF!</v>
      </c>
      <c r="F48" s="622" t="e">
        <f t="shared" si="19"/>
        <v>#REF!</v>
      </c>
      <c r="G48" s="622" t="e">
        <f t="shared" si="19"/>
        <v>#REF!</v>
      </c>
      <c r="H48" s="622" t="e">
        <f t="shared" si="19"/>
        <v>#REF!</v>
      </c>
      <c r="I48" s="622" t="e">
        <f t="shared" si="19"/>
        <v>#REF!</v>
      </c>
      <c r="J48" s="622" t="e">
        <f t="shared" si="19"/>
        <v>#REF!</v>
      </c>
      <c r="K48" s="622" t="e">
        <f t="shared" si="19"/>
        <v>#REF!</v>
      </c>
      <c r="L48" s="135">
        <f t="shared" si="19"/>
        <v>36750.03</v>
      </c>
      <c r="M48" s="391">
        <f t="shared" si="19"/>
        <v>8360.6869999999999</v>
      </c>
      <c r="N48" s="391">
        <f t="shared" si="19"/>
        <v>-29443.789999999994</v>
      </c>
      <c r="O48" s="624">
        <f t="shared" si="5"/>
        <v>-0.77249849864068143</v>
      </c>
      <c r="P48" s="628"/>
      <c r="Q48" s="323"/>
    </row>
    <row r="49" spans="1:16" s="10" customFormat="1" ht="16.5" customHeight="1">
      <c r="A49" s="426" t="s">
        <v>63</v>
      </c>
      <c r="B49" s="124" t="s">
        <v>289</v>
      </c>
      <c r="C49" s="125" t="s">
        <v>6</v>
      </c>
      <c r="D49" s="622"/>
      <c r="E49" s="636" t="e">
        <f>E51-E48</f>
        <v>#REF!</v>
      </c>
      <c r="F49" s="622"/>
      <c r="G49" s="636" t="e">
        <f t="shared" ref="G49:K49" si="20">+G51-G48</f>
        <v>#REF!</v>
      </c>
      <c r="H49" s="636" t="e">
        <f t="shared" si="20"/>
        <v>#REF!</v>
      </c>
      <c r="I49" s="636" t="e">
        <f t="shared" si="20"/>
        <v>#REF!</v>
      </c>
      <c r="J49" s="622" t="e">
        <f t="shared" si="20"/>
        <v>#REF!</v>
      </c>
      <c r="K49" s="622" t="e">
        <f t="shared" si="20"/>
        <v>#REF!</v>
      </c>
      <c r="L49" s="135">
        <f>+L51-L48+L50</f>
        <v>-5.6843418860808015E-13</v>
      </c>
      <c r="M49" s="391">
        <f>+M51-M48</f>
        <v>-8360.6869999999999</v>
      </c>
      <c r="N49" s="135"/>
      <c r="O49" s="637"/>
      <c r="P49" s="638"/>
    </row>
    <row r="50" spans="1:16" s="10" customFormat="1" ht="16.5" customHeight="1">
      <c r="A50" s="426"/>
      <c r="B50" s="124" t="s">
        <v>543</v>
      </c>
      <c r="C50" s="125" t="s">
        <v>6</v>
      </c>
      <c r="D50" s="622"/>
      <c r="E50" s="636"/>
      <c r="F50" s="622"/>
      <c r="G50" s="636"/>
      <c r="H50" s="636"/>
      <c r="I50" s="636"/>
      <c r="J50" s="622"/>
      <c r="K50" s="622"/>
      <c r="L50" s="135">
        <v>146.11000000000001</v>
      </c>
      <c r="M50" s="391"/>
      <c r="N50" s="135"/>
      <c r="O50" s="637"/>
      <c r="P50" s="638"/>
    </row>
    <row r="51" spans="1:16" s="10" customFormat="1" ht="17.25" customHeight="1">
      <c r="A51" s="427" t="s">
        <v>68</v>
      </c>
      <c r="B51" s="428" t="s">
        <v>521</v>
      </c>
      <c r="C51" s="125" t="s">
        <v>6</v>
      </c>
      <c r="D51" s="622" t="e">
        <f>D48+D49</f>
        <v>#REF!</v>
      </c>
      <c r="E51" s="636">
        <f>E55*E60</f>
        <v>886.42771200000016</v>
      </c>
      <c r="F51" s="622">
        <v>34548.5</v>
      </c>
      <c r="G51" s="622">
        <f>G54*G60</f>
        <v>28126.149815999994</v>
      </c>
      <c r="H51" s="622">
        <f>H54*H60</f>
        <v>19840.349023999999</v>
      </c>
      <c r="I51" s="622">
        <f>E51+G51</f>
        <v>29012.577527999994</v>
      </c>
      <c r="J51" s="636">
        <f>J55*0.202+J56*0.424</f>
        <v>20726.776736</v>
      </c>
      <c r="K51" s="636">
        <f>K54*K60</f>
        <v>5305.849107</v>
      </c>
      <c r="L51" s="135">
        <v>36603.919999999998</v>
      </c>
      <c r="M51" s="391"/>
      <c r="N51" s="135"/>
      <c r="O51" s="639"/>
      <c r="P51" s="640"/>
    </row>
    <row r="52" spans="1:16" s="10" customFormat="1" ht="27.75" customHeight="1">
      <c r="A52" s="424" t="s">
        <v>69</v>
      </c>
      <c r="B52" s="561" t="s">
        <v>260</v>
      </c>
      <c r="C52" s="424" t="s">
        <v>58</v>
      </c>
      <c r="D52" s="622"/>
      <c r="E52" s="636"/>
      <c r="F52" s="622"/>
      <c r="G52" s="622"/>
      <c r="H52" s="622"/>
      <c r="I52" s="622"/>
      <c r="J52" s="636"/>
      <c r="K52" s="636"/>
      <c r="L52" s="135"/>
      <c r="M52" s="391"/>
      <c r="N52" s="135"/>
      <c r="O52" s="639"/>
      <c r="P52" s="640"/>
    </row>
    <row r="53" spans="1:16" s="10" customFormat="1" ht="17.25" customHeight="1">
      <c r="A53" s="424" t="s">
        <v>98</v>
      </c>
      <c r="B53" s="561" t="s">
        <v>62</v>
      </c>
      <c r="C53" s="424" t="s">
        <v>58</v>
      </c>
      <c r="D53" s="622"/>
      <c r="E53" s="636"/>
      <c r="F53" s="622"/>
      <c r="G53" s="622"/>
      <c r="H53" s="622"/>
      <c r="I53" s="622"/>
      <c r="J53" s="636"/>
      <c r="K53" s="636"/>
      <c r="L53" s="135"/>
      <c r="M53" s="391"/>
      <c r="N53" s="135"/>
      <c r="O53" s="639"/>
      <c r="P53" s="640"/>
    </row>
    <row r="54" spans="1:16" s="10" customFormat="1" ht="16.5" customHeight="1">
      <c r="A54" s="427" t="s">
        <v>177</v>
      </c>
      <c r="B54" s="127" t="s">
        <v>290</v>
      </c>
      <c r="C54" s="125" t="s">
        <v>97</v>
      </c>
      <c r="D54" s="641">
        <v>24929</v>
      </c>
      <c r="E54" s="636">
        <f>SUM(E55:E57)</f>
        <v>4388.2560000000003</v>
      </c>
      <c r="F54" s="641">
        <v>81552</v>
      </c>
      <c r="G54" s="622">
        <f>C72+C73</f>
        <v>66335.258999999991</v>
      </c>
      <c r="H54" s="622">
        <f>H56</f>
        <v>46793.275999999998</v>
      </c>
      <c r="I54" s="622">
        <f>E54+G54</f>
        <v>70723.514999999985</v>
      </c>
      <c r="J54" s="636">
        <f>SUM(J55:J57)</f>
        <v>51181.531999999999</v>
      </c>
      <c r="K54" s="636">
        <v>12602.967000000001</v>
      </c>
      <c r="L54" s="135">
        <v>81552</v>
      </c>
      <c r="M54" s="391"/>
      <c r="N54" s="135"/>
      <c r="O54" s="639"/>
      <c r="P54" s="640"/>
    </row>
    <row r="55" spans="1:16" s="79" customFormat="1" ht="16.5" hidden="1" customHeight="1">
      <c r="A55" s="427"/>
      <c r="B55" s="127" t="s">
        <v>291</v>
      </c>
      <c r="C55" s="125" t="s">
        <v>97</v>
      </c>
      <c r="D55" s="641"/>
      <c r="E55" s="636">
        <v>4388.2560000000003</v>
      </c>
      <c r="F55" s="641"/>
      <c r="G55" s="622"/>
      <c r="H55" s="622"/>
      <c r="I55" s="622"/>
      <c r="J55" s="636">
        <f>E55</f>
        <v>4388.2560000000003</v>
      </c>
      <c r="K55" s="636"/>
      <c r="L55" s="135"/>
      <c r="M55" s="391">
        <f>J55</f>
        <v>4388.2560000000003</v>
      </c>
      <c r="N55" s="135"/>
      <c r="O55" s="639"/>
      <c r="P55" s="640"/>
    </row>
    <row r="56" spans="1:16" s="79" customFormat="1" ht="16.5" hidden="1" customHeight="1">
      <c r="A56" s="427"/>
      <c r="B56" s="127" t="s">
        <v>292</v>
      </c>
      <c r="C56" s="125" t="s">
        <v>97</v>
      </c>
      <c r="D56" s="641"/>
      <c r="E56" s="636"/>
      <c r="F56" s="641"/>
      <c r="G56" s="622"/>
      <c r="H56" s="622">
        <v>46793.275999999998</v>
      </c>
      <c r="I56" s="622"/>
      <c r="J56" s="636">
        <f>9025.653+20961.969+16805.654</f>
        <v>46793.275999999998</v>
      </c>
      <c r="K56" s="636"/>
      <c r="L56" s="135"/>
      <c r="M56" s="391">
        <f>J56</f>
        <v>46793.275999999998</v>
      </c>
      <c r="N56" s="135"/>
      <c r="O56" s="639"/>
      <c r="P56" s="640"/>
    </row>
    <row r="57" spans="1:16" s="79" customFormat="1" ht="16.5" hidden="1" customHeight="1">
      <c r="A57" s="427"/>
      <c r="B57" s="127" t="s">
        <v>293</v>
      </c>
      <c r="C57" s="125" t="s">
        <v>97</v>
      </c>
      <c r="D57" s="641"/>
      <c r="E57" s="636"/>
      <c r="F57" s="641"/>
      <c r="G57" s="622"/>
      <c r="H57" s="622"/>
      <c r="I57" s="622"/>
      <c r="J57" s="636"/>
      <c r="K57" s="636"/>
      <c r="L57" s="135"/>
      <c r="M57" s="391">
        <v>12602.967000000001</v>
      </c>
      <c r="N57" s="135"/>
      <c r="O57" s="639"/>
      <c r="P57" s="640"/>
    </row>
    <row r="58" spans="1:16" ht="12" customHeight="1">
      <c r="A58" s="427" t="s">
        <v>139</v>
      </c>
      <c r="B58" s="917" t="s">
        <v>156</v>
      </c>
      <c r="C58" s="125" t="s">
        <v>157</v>
      </c>
      <c r="D58" s="642">
        <v>0.26</v>
      </c>
      <c r="E58" s="642">
        <v>0.26</v>
      </c>
      <c r="F58" s="642">
        <v>0.25</v>
      </c>
      <c r="G58" s="642">
        <v>0.25</v>
      </c>
      <c r="H58" s="642"/>
      <c r="I58" s="643" t="s">
        <v>294</v>
      </c>
      <c r="J58" s="643" t="s">
        <v>295</v>
      </c>
      <c r="K58" s="643" t="s">
        <v>296</v>
      </c>
      <c r="L58" s="644" t="s">
        <v>514</v>
      </c>
      <c r="M58" s="645"/>
      <c r="N58" s="646"/>
      <c r="O58" s="647"/>
      <c r="P58" s="648"/>
    </row>
    <row r="59" spans="1:16" ht="12.75" customHeight="1">
      <c r="A59" s="427" t="s">
        <v>261</v>
      </c>
      <c r="B59" s="917"/>
      <c r="C59" s="125" t="s">
        <v>97</v>
      </c>
      <c r="D59" s="636">
        <v>8758.8378378378402</v>
      </c>
      <c r="E59" s="649">
        <f>E54/0.74-E54</f>
        <v>1541.8196756756761</v>
      </c>
      <c r="F59" s="649">
        <v>27144.080000000002</v>
      </c>
      <c r="G59" s="649">
        <f>(G54*25)/75</f>
        <v>22111.752999999997</v>
      </c>
      <c r="H59" s="649"/>
      <c r="I59" s="649"/>
      <c r="J59" s="649">
        <v>1542</v>
      </c>
      <c r="K59" s="649"/>
      <c r="L59" s="650">
        <v>27144.1</v>
      </c>
      <c r="M59" s="391"/>
      <c r="N59" s="650"/>
      <c r="O59" s="647"/>
      <c r="P59" s="648"/>
    </row>
    <row r="60" spans="1:16" ht="15.75">
      <c r="A60" s="427"/>
      <c r="B60" s="651" t="s">
        <v>166</v>
      </c>
      <c r="C60" s="125" t="s">
        <v>99</v>
      </c>
      <c r="D60" s="652" t="e">
        <f>D51/D54</f>
        <v>#REF!</v>
      </c>
      <c r="E60" s="652">
        <v>0.20200000000000001</v>
      </c>
      <c r="F60" s="652">
        <f>+F51/F54</f>
        <v>0.42363767902687854</v>
      </c>
      <c r="G60" s="653">
        <v>0.42399999999999999</v>
      </c>
      <c r="H60" s="653">
        <v>0.42399999999999999</v>
      </c>
      <c r="I60" s="653" t="s">
        <v>143</v>
      </c>
      <c r="J60" s="653" t="s">
        <v>143</v>
      </c>
      <c r="K60" s="653">
        <v>0.42099999999999999</v>
      </c>
      <c r="L60" s="390">
        <v>0.44900000000000001</v>
      </c>
      <c r="M60" s="390">
        <v>0.42099999999999999</v>
      </c>
      <c r="N60" s="654"/>
      <c r="O60" s="647"/>
      <c r="P60" s="648"/>
    </row>
    <row r="61" spans="1:16" ht="15.75">
      <c r="A61" s="133"/>
      <c r="B61" s="149" t="s">
        <v>100</v>
      </c>
      <c r="C61" s="133"/>
      <c r="D61" s="133"/>
      <c r="E61" s="133"/>
      <c r="F61" s="133"/>
      <c r="G61" s="133"/>
      <c r="H61" s="133"/>
      <c r="I61" s="133"/>
      <c r="J61" s="133"/>
      <c r="K61" s="133"/>
      <c r="L61" s="655"/>
      <c r="M61" s="656"/>
      <c r="N61" s="655"/>
      <c r="O61" s="647"/>
      <c r="P61" s="648"/>
    </row>
    <row r="62" spans="1:16" s="12" customFormat="1" ht="15.75" customHeight="1">
      <c r="A62" s="427">
        <v>7</v>
      </c>
      <c r="B62" s="127" t="s">
        <v>136</v>
      </c>
      <c r="C62" s="427" t="s">
        <v>102</v>
      </c>
      <c r="D62" s="657">
        <f>D63+D64</f>
        <v>11</v>
      </c>
      <c r="E62" s="657"/>
      <c r="F62" s="657">
        <f>F63+F64</f>
        <v>34</v>
      </c>
      <c r="G62" s="657"/>
      <c r="H62" s="657"/>
      <c r="I62" s="657"/>
      <c r="J62" s="657"/>
      <c r="K62" s="657"/>
      <c r="L62" s="658">
        <f>L63+L64</f>
        <v>37</v>
      </c>
      <c r="M62" s="659">
        <f>SUM(M63:M64)</f>
        <v>18</v>
      </c>
      <c r="N62" s="658"/>
      <c r="O62" s="647"/>
      <c r="P62" s="660"/>
    </row>
    <row r="63" spans="1:16" s="12" customFormat="1" ht="12.75" customHeight="1">
      <c r="A63" s="152" t="s">
        <v>120</v>
      </c>
      <c r="B63" s="150" t="s">
        <v>297</v>
      </c>
      <c r="C63" s="151" t="s">
        <v>102</v>
      </c>
      <c r="D63" s="661">
        <v>11</v>
      </c>
      <c r="E63" s="661"/>
      <c r="F63" s="661">
        <v>30</v>
      </c>
      <c r="G63" s="662"/>
      <c r="H63" s="662"/>
      <c r="I63" s="662"/>
      <c r="J63" s="661"/>
      <c r="K63" s="661"/>
      <c r="L63" s="663">
        <v>33</v>
      </c>
      <c r="M63" s="656">
        <v>13</v>
      </c>
      <c r="N63" s="664"/>
      <c r="O63" s="647"/>
      <c r="P63" s="660"/>
    </row>
    <row r="64" spans="1:16" s="12" customFormat="1" ht="15.75">
      <c r="A64" s="152" t="s">
        <v>121</v>
      </c>
      <c r="B64" s="150" t="s">
        <v>298</v>
      </c>
      <c r="C64" s="151" t="s">
        <v>102</v>
      </c>
      <c r="D64" s="133">
        <v>0</v>
      </c>
      <c r="E64" s="133"/>
      <c r="F64" s="133">
        <v>4</v>
      </c>
      <c r="G64" s="133"/>
      <c r="H64" s="133"/>
      <c r="I64" s="133"/>
      <c r="J64" s="133"/>
      <c r="K64" s="133"/>
      <c r="L64" s="655">
        <v>4</v>
      </c>
      <c r="M64" s="656">
        <v>5</v>
      </c>
      <c r="N64" s="655"/>
      <c r="O64" s="647"/>
      <c r="P64" s="660"/>
    </row>
    <row r="65" spans="1:16" s="12" customFormat="1" ht="16.5" customHeight="1">
      <c r="A65" s="153" t="s">
        <v>299</v>
      </c>
      <c r="B65" s="127" t="s">
        <v>137</v>
      </c>
      <c r="C65" s="427" t="s">
        <v>105</v>
      </c>
      <c r="D65" s="657">
        <f>+D66</f>
        <v>73808</v>
      </c>
      <c r="E65" s="657"/>
      <c r="F65" s="657">
        <f>AVERAGE(F66:F67)</f>
        <v>68577</v>
      </c>
      <c r="G65" s="657"/>
      <c r="H65" s="657"/>
      <c r="I65" s="657"/>
      <c r="J65" s="657"/>
      <c r="K65" s="657"/>
      <c r="L65" s="184">
        <v>62677.33</v>
      </c>
      <c r="M65" s="659">
        <f>AVERAGE(M66:M67)</f>
        <v>85724.132692307685</v>
      </c>
      <c r="N65" s="658"/>
      <c r="O65" s="647"/>
      <c r="P65" s="660"/>
    </row>
    <row r="66" spans="1:16" s="12" customFormat="1" ht="15.75">
      <c r="A66" s="152" t="s">
        <v>300</v>
      </c>
      <c r="B66" s="150" t="s">
        <v>297</v>
      </c>
      <c r="C66" s="151" t="s">
        <v>105</v>
      </c>
      <c r="D66" s="661">
        <v>73808</v>
      </c>
      <c r="E66" s="661"/>
      <c r="F66" s="661">
        <v>57148</v>
      </c>
      <c r="G66" s="661"/>
      <c r="H66" s="661"/>
      <c r="I66" s="661"/>
      <c r="J66" s="661"/>
      <c r="K66" s="661"/>
      <c r="L66" s="176">
        <v>60576.88</v>
      </c>
      <c r="M66" s="656">
        <f>M13/4/M63*1000</f>
        <v>76057.865384615376</v>
      </c>
      <c r="N66" s="663"/>
      <c r="O66" s="647"/>
      <c r="P66" s="660"/>
    </row>
    <row r="67" spans="1:16" s="12" customFormat="1" ht="15.75">
      <c r="A67" s="152" t="s">
        <v>301</v>
      </c>
      <c r="B67" s="150" t="s">
        <v>298</v>
      </c>
      <c r="C67" s="151" t="s">
        <v>105</v>
      </c>
      <c r="D67" s="661">
        <v>0</v>
      </c>
      <c r="E67" s="661"/>
      <c r="F67" s="661">
        <v>80006</v>
      </c>
      <c r="G67" s="661"/>
      <c r="H67" s="661"/>
      <c r="I67" s="661"/>
      <c r="J67" s="661"/>
      <c r="K67" s="661"/>
      <c r="L67" s="176">
        <v>80006</v>
      </c>
      <c r="M67" s="656">
        <f>M27/4/M64*1000</f>
        <v>95390.399999999994</v>
      </c>
      <c r="N67" s="663"/>
      <c r="O67" s="647"/>
      <c r="P67" s="660"/>
    </row>
    <row r="68" spans="1:16" s="12" customFormat="1" ht="15.75" hidden="1">
      <c r="A68" s="155"/>
      <c r="B68" s="918"/>
      <c r="C68" s="918"/>
      <c r="D68" s="665"/>
      <c r="E68" s="665" t="e">
        <f>E51/D51</f>
        <v>#REF!</v>
      </c>
      <c r="F68" s="254"/>
      <c r="G68" s="254"/>
      <c r="H68" s="254"/>
      <c r="I68" s="254"/>
      <c r="J68" s="254"/>
      <c r="K68" s="254"/>
      <c r="L68" s="254"/>
      <c r="M68" s="666"/>
      <c r="N68" s="254"/>
      <c r="O68" s="667"/>
      <c r="P68" s="668"/>
    </row>
    <row r="69" spans="1:16" s="12" customFormat="1" ht="15.75" hidden="1">
      <c r="A69" s="155"/>
      <c r="B69" s="669"/>
      <c r="C69" s="669"/>
      <c r="D69" s="665"/>
      <c r="E69" s="665"/>
      <c r="F69" s="254"/>
      <c r="G69" s="254"/>
      <c r="H69" s="254"/>
      <c r="I69" s="254"/>
      <c r="J69" s="254"/>
      <c r="K69" s="254"/>
      <c r="L69" s="254"/>
      <c r="M69" s="666"/>
      <c r="N69" s="254"/>
      <c r="O69" s="667"/>
      <c r="P69" s="668"/>
    </row>
    <row r="70" spans="1:16" s="1" customFormat="1" ht="94.5" hidden="1">
      <c r="A70" s="422" t="s">
        <v>180</v>
      </c>
      <c r="B70" s="422" t="s">
        <v>181</v>
      </c>
      <c r="C70" s="422" t="s">
        <v>183</v>
      </c>
      <c r="D70" s="424" t="s">
        <v>141</v>
      </c>
      <c r="E70" s="422" t="s">
        <v>268</v>
      </c>
      <c r="F70" s="422" t="s">
        <v>185</v>
      </c>
      <c r="G70" s="422" t="s">
        <v>188</v>
      </c>
      <c r="H70" s="74"/>
      <c r="I70" s="74"/>
      <c r="J70" s="74"/>
      <c r="K70" s="74"/>
      <c r="L70" s="74"/>
      <c r="M70" s="313"/>
      <c r="N70" s="74"/>
      <c r="O70" s="670"/>
      <c r="P70" s="671"/>
    </row>
    <row r="71" spans="1:16" s="1" customFormat="1" ht="15.75" hidden="1">
      <c r="A71" s="66">
        <v>1</v>
      </c>
      <c r="B71" s="67" t="s">
        <v>142</v>
      </c>
      <c r="C71" s="68">
        <v>4388.2560000000003</v>
      </c>
      <c r="D71" s="69">
        <v>0.20200000000000001</v>
      </c>
      <c r="E71" s="119"/>
      <c r="F71" s="68">
        <f>ROUND(C71*D71,3)</f>
        <v>886.428</v>
      </c>
      <c r="G71" s="68"/>
      <c r="H71" s="74"/>
      <c r="I71" s="74"/>
      <c r="J71" s="74"/>
      <c r="K71" s="74"/>
      <c r="L71" s="74"/>
      <c r="M71" s="313"/>
      <c r="N71" s="74"/>
      <c r="O71" s="670"/>
      <c r="P71" s="671"/>
    </row>
    <row r="72" spans="1:16" s="1" customFormat="1" ht="15.75" hidden="1">
      <c r="A72" s="66">
        <v>2</v>
      </c>
      <c r="B72" s="67" t="s">
        <v>292</v>
      </c>
      <c r="C72" s="68">
        <v>46793.275999999998</v>
      </c>
      <c r="D72" s="69">
        <v>0.42399999999999999</v>
      </c>
      <c r="E72" s="119"/>
      <c r="F72" s="68">
        <f>ROUND(C72*D72,3)</f>
        <v>19840.348999999998</v>
      </c>
      <c r="G72" s="68"/>
      <c r="H72" s="74"/>
      <c r="I72" s="74"/>
      <c r="J72" s="74"/>
      <c r="K72" s="74"/>
      <c r="L72" s="74"/>
      <c r="M72" s="313"/>
      <c r="N72" s="74"/>
      <c r="O72" s="670"/>
      <c r="P72" s="671"/>
    </row>
    <row r="73" spans="1:16" s="1" customFormat="1" ht="31.5" hidden="1">
      <c r="A73" s="66">
        <v>3</v>
      </c>
      <c r="B73" s="67" t="s">
        <v>302</v>
      </c>
      <c r="C73" s="70">
        <v>19541.983</v>
      </c>
      <c r="D73" s="69">
        <v>0.42099999999999999</v>
      </c>
      <c r="E73" s="68">
        <f>D72-D73</f>
        <v>3.0000000000000027E-3</v>
      </c>
      <c r="F73" s="68">
        <f>ROUND(C73*D73,3)</f>
        <v>8227.1749999999993</v>
      </c>
      <c r="G73" s="68">
        <f>ROUND(E73*C73,3)</f>
        <v>58.625999999999998</v>
      </c>
      <c r="H73" s="74"/>
      <c r="I73" s="74"/>
      <c r="J73" s="74"/>
      <c r="K73" s="74"/>
      <c r="L73" s="74"/>
      <c r="M73" s="313"/>
      <c r="N73" s="74"/>
      <c r="O73" s="670"/>
      <c r="P73" s="671"/>
    </row>
    <row r="74" spans="1:16" s="1" customFormat="1" ht="15.75" hidden="1">
      <c r="A74" s="96"/>
      <c r="B74" s="422" t="s">
        <v>303</v>
      </c>
      <c r="C74" s="72">
        <f>SUM(C71:C73)</f>
        <v>70723.514999999999</v>
      </c>
      <c r="D74" s="73"/>
      <c r="E74" s="72"/>
      <c r="F74" s="72">
        <f>SUM(F71:F73)</f>
        <v>28953.951999999997</v>
      </c>
      <c r="G74" s="72">
        <f>SUM(G71:G73)</f>
        <v>58.625999999999998</v>
      </c>
      <c r="H74" s="74"/>
      <c r="I74" s="74"/>
      <c r="J74" s="74"/>
      <c r="K74" s="74"/>
      <c r="L74" s="74"/>
      <c r="M74" s="313"/>
      <c r="N74" s="74"/>
      <c r="O74" s="670"/>
      <c r="P74" s="671"/>
    </row>
    <row r="75" spans="1:16" s="1" customFormat="1" ht="15.75">
      <c r="A75" s="672"/>
      <c r="B75" s="673"/>
      <c r="C75" s="674"/>
      <c r="D75" s="675"/>
      <c r="E75" s="674"/>
      <c r="F75" s="674"/>
      <c r="G75" s="674"/>
      <c r="H75" s="74"/>
      <c r="I75" s="74"/>
      <c r="J75" s="74"/>
      <c r="K75" s="74"/>
      <c r="L75" s="74"/>
      <c r="M75" s="313"/>
      <c r="N75" s="74"/>
      <c r="O75" s="670"/>
      <c r="P75" s="671"/>
    </row>
    <row r="76" spans="1:16" s="1" customFormat="1" ht="15.75">
      <c r="A76" s="672"/>
      <c r="B76" s="673"/>
      <c r="C76" s="674"/>
      <c r="D76" s="675"/>
      <c r="E76" s="674"/>
      <c r="F76" s="674"/>
      <c r="G76" s="674"/>
      <c r="H76" s="74"/>
      <c r="I76" s="74"/>
      <c r="J76" s="74"/>
      <c r="K76" s="74"/>
      <c r="L76" s="74"/>
      <c r="M76" s="313"/>
      <c r="N76" s="74"/>
      <c r="O76" s="670"/>
      <c r="P76" s="671"/>
    </row>
    <row r="77" spans="1:16" ht="20.25" customHeight="1">
      <c r="A77" s="912" t="s">
        <v>520</v>
      </c>
      <c r="B77" s="912"/>
      <c r="C77" s="912"/>
      <c r="D77" s="912"/>
      <c r="E77" s="912"/>
      <c r="F77" s="912"/>
      <c r="G77" s="912"/>
      <c r="H77" s="912"/>
      <c r="I77" s="912"/>
      <c r="J77" s="912"/>
      <c r="K77" s="912"/>
      <c r="L77" s="912"/>
      <c r="M77" s="619"/>
      <c r="N77" s="676"/>
      <c r="O77" s="677" t="s">
        <v>510</v>
      </c>
      <c r="P77" s="621"/>
    </row>
    <row r="78" spans="1:16" ht="20.25" customHeight="1">
      <c r="A78" s="857"/>
      <c r="B78" s="857"/>
      <c r="C78" s="857"/>
      <c r="D78" s="857"/>
      <c r="E78" s="857"/>
      <c r="F78" s="857"/>
      <c r="G78" s="857"/>
      <c r="H78" s="857"/>
      <c r="I78" s="857"/>
      <c r="J78" s="857"/>
      <c r="K78" s="857"/>
      <c r="L78" s="857"/>
      <c r="M78" s="619"/>
      <c r="N78" s="857"/>
      <c r="O78" s="677"/>
      <c r="P78" s="621"/>
    </row>
    <row r="79" spans="1:16" ht="20.25" customHeight="1">
      <c r="A79" s="912" t="s">
        <v>71</v>
      </c>
      <c r="B79" s="912"/>
      <c r="C79" s="912"/>
      <c r="D79" s="857"/>
      <c r="E79" s="857"/>
      <c r="F79" s="857"/>
      <c r="G79" s="857"/>
      <c r="H79" s="857"/>
      <c r="I79" s="857"/>
      <c r="J79" s="857"/>
      <c r="K79" s="857"/>
      <c r="L79" s="857"/>
      <c r="M79" s="619"/>
      <c r="N79" s="857"/>
      <c r="O79" s="677" t="s">
        <v>595</v>
      </c>
      <c r="P79" s="621"/>
    </row>
    <row r="80" spans="1:16" ht="15.75">
      <c r="A80" s="678"/>
      <c r="B80" s="919"/>
      <c r="C80" s="919"/>
      <c r="D80" s="679"/>
      <c r="E80" s="679"/>
      <c r="F80" s="679"/>
      <c r="G80" s="161"/>
      <c r="H80" s="161"/>
      <c r="I80" s="161"/>
      <c r="J80" s="161"/>
      <c r="K80" s="161"/>
      <c r="L80" s="161"/>
      <c r="M80" s="619"/>
      <c r="N80" s="161"/>
      <c r="O80" s="620"/>
      <c r="P80" s="621"/>
    </row>
    <row r="81" spans="1:16" ht="18" customHeight="1">
      <c r="A81" s="916" t="s">
        <v>577</v>
      </c>
      <c r="B81" s="916"/>
      <c r="C81" s="916"/>
      <c r="D81" s="916"/>
      <c r="E81" s="916"/>
      <c r="F81" s="916"/>
      <c r="G81" s="916"/>
      <c r="H81" s="916"/>
      <c r="I81" s="916"/>
      <c r="J81" s="916"/>
      <c r="K81" s="916"/>
      <c r="L81" s="916"/>
      <c r="M81" s="619"/>
      <c r="N81" s="680"/>
      <c r="O81" s="681" t="s">
        <v>169</v>
      </c>
      <c r="P81" s="621"/>
    </row>
    <row r="82" spans="1:16" ht="15.75">
      <c r="A82" s="851"/>
      <c r="B82" s="851"/>
      <c r="C82" s="851"/>
      <c r="D82" s="851"/>
      <c r="E82" s="851"/>
      <c r="F82" s="851"/>
      <c r="G82" s="851"/>
      <c r="H82" s="851"/>
      <c r="I82" s="851"/>
      <c r="J82" s="851"/>
      <c r="K82" s="851"/>
      <c r="L82" s="851"/>
      <c r="M82" s="852"/>
      <c r="N82" s="851"/>
      <c r="O82" s="853"/>
      <c r="P82" s="621"/>
    </row>
    <row r="83" spans="1:16" ht="15.75">
      <c r="A83" s="851" t="s">
        <v>593</v>
      </c>
      <c r="B83" s="851"/>
      <c r="C83" s="851"/>
      <c r="D83" s="851"/>
      <c r="E83" s="851"/>
      <c r="F83" s="851"/>
      <c r="G83" s="851"/>
      <c r="H83" s="851"/>
      <c r="I83" s="851"/>
      <c r="J83" s="851"/>
      <c r="K83" s="851"/>
      <c r="L83" s="851"/>
      <c r="M83" s="852"/>
      <c r="N83" s="851"/>
      <c r="O83" s="853" t="s">
        <v>525</v>
      </c>
      <c r="P83" s="621"/>
    </row>
    <row r="84" spans="1:16" ht="15.75">
      <c r="A84" s="851"/>
      <c r="B84" s="851"/>
      <c r="C84" s="851"/>
      <c r="D84" s="851"/>
      <c r="E84" s="851"/>
      <c r="F84" s="851"/>
      <c r="G84" s="851"/>
      <c r="H84" s="851"/>
      <c r="I84" s="851"/>
      <c r="J84" s="851"/>
      <c r="K84" s="851"/>
      <c r="L84" s="851"/>
      <c r="M84" s="852"/>
      <c r="N84" s="851"/>
      <c r="O84" s="853"/>
      <c r="P84" s="621"/>
    </row>
    <row r="85" spans="1:16" ht="15.75">
      <c r="A85" s="161"/>
      <c r="B85" s="161"/>
      <c r="C85" s="161"/>
      <c r="D85" s="161"/>
      <c r="E85" s="161"/>
      <c r="F85" s="161"/>
      <c r="G85" s="161"/>
      <c r="H85" s="161"/>
      <c r="I85" s="161"/>
      <c r="J85" s="161"/>
      <c r="K85" s="161"/>
      <c r="L85" s="161"/>
      <c r="M85" s="619"/>
      <c r="N85" s="161"/>
      <c r="O85" s="620"/>
      <c r="P85" s="621"/>
    </row>
    <row r="86" spans="1:16" ht="15.75">
      <c r="A86" s="76" t="s">
        <v>108</v>
      </c>
      <c r="B86" s="76" t="s">
        <v>505</v>
      </c>
      <c r="C86" s="161"/>
      <c r="D86" s="161"/>
      <c r="E86" s="161"/>
      <c r="F86" s="161"/>
      <c r="G86" s="161"/>
      <c r="H86" s="161"/>
      <c r="I86" s="161"/>
      <c r="J86" s="161"/>
      <c r="K86" s="161"/>
      <c r="L86" s="161"/>
      <c r="M86" s="619"/>
      <c r="N86" s="161"/>
      <c r="O86" s="620"/>
      <c r="P86" s="621"/>
    </row>
    <row r="87" spans="1:16" ht="15.75">
      <c r="A87" s="65"/>
      <c r="B87" s="76" t="s">
        <v>109</v>
      </c>
      <c r="C87" s="161"/>
      <c r="D87" s="263"/>
      <c r="E87" s="263"/>
      <c r="F87" s="161"/>
      <c r="G87" s="254">
        <f>G51/F51</f>
        <v>0.81410625109628476</v>
      </c>
      <c r="H87" s="161"/>
      <c r="I87" s="161"/>
      <c r="J87" s="161"/>
      <c r="K87" s="161"/>
      <c r="L87" s="161"/>
      <c r="M87" s="619"/>
      <c r="N87" s="161"/>
      <c r="O87" s="620"/>
      <c r="P87" s="621"/>
    </row>
    <row r="88" spans="1:16" ht="15.75">
      <c r="A88" s="161"/>
      <c r="B88" s="76" t="s">
        <v>592</v>
      </c>
      <c r="C88" s="161"/>
      <c r="D88" s="161"/>
      <c r="E88" s="161"/>
      <c r="F88" s="161"/>
      <c r="G88" s="161"/>
      <c r="H88" s="161"/>
      <c r="I88" s="161"/>
      <c r="J88" s="161"/>
      <c r="K88" s="161"/>
      <c r="L88" s="161"/>
      <c r="M88" s="619"/>
      <c r="N88" s="161"/>
      <c r="O88" s="620"/>
      <c r="P88" s="621"/>
    </row>
    <row r="89" spans="1:16">
      <c r="G89" s="11">
        <v>970.51199999999994</v>
      </c>
    </row>
    <row r="90" spans="1:16">
      <c r="G90" s="11" t="e">
        <f>G89/F26</f>
        <v>#REF!</v>
      </c>
    </row>
  </sheetData>
  <mergeCells count="21">
    <mergeCell ref="A81:L81"/>
    <mergeCell ref="N4:N5"/>
    <mergeCell ref="J4:J5"/>
    <mergeCell ref="K4:K5"/>
    <mergeCell ref="L4:L5"/>
    <mergeCell ref="M4:M5"/>
    <mergeCell ref="B58:B59"/>
    <mergeCell ref="B68:C68"/>
    <mergeCell ref="B80:C80"/>
    <mergeCell ref="A4:A5"/>
    <mergeCell ref="B4:B5"/>
    <mergeCell ref="C4:C5"/>
    <mergeCell ref="D4:E4"/>
    <mergeCell ref="F4:G4"/>
    <mergeCell ref="H4:H5"/>
    <mergeCell ref="I4:I5"/>
    <mergeCell ref="A77:L77"/>
    <mergeCell ref="A1:P1"/>
    <mergeCell ref="P4:P5"/>
    <mergeCell ref="O4:O5"/>
    <mergeCell ref="A79:C79"/>
  </mergeCells>
  <pageMargins left="0.78740157480314965" right="0.47244094488188981" top="0.39370078740157483" bottom="0.39370078740157483" header="0.35433070866141736" footer="0.74803149606299213"/>
  <pageSetup paperSize="9" scale="51" fitToHeight="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C80"/>
  </sheetPr>
  <dimension ref="A1:T88"/>
  <sheetViews>
    <sheetView view="pageBreakPreview" zoomScale="78" zoomScaleSheetLayoutView="78" workbookViewId="0">
      <pane xSplit="2" ySplit="4" topLeftCell="C66" activePane="bottomRight" state="frozen"/>
      <selection pane="topRight" activeCell="C1" sqref="C1"/>
      <selection pane="bottomLeft" activeCell="A5" sqref="A5"/>
      <selection pane="bottomRight" activeCell="N84" sqref="N84"/>
    </sheetView>
  </sheetViews>
  <sheetFormatPr defaultColWidth="9.140625" defaultRowHeight="15.75"/>
  <cols>
    <col min="1" max="1" width="7.5703125" style="6" customWidth="1"/>
    <col min="2" max="2" width="53.140625" style="6" customWidth="1"/>
    <col min="3" max="3" width="13.140625" style="6" customWidth="1"/>
    <col min="4" max="4" width="17.7109375" style="6" hidden="1" customWidth="1"/>
    <col min="5" max="5" width="15" style="6" hidden="1" customWidth="1"/>
    <col min="6" max="6" width="11" style="6" hidden="1" customWidth="1"/>
    <col min="7" max="7" width="18" style="6" hidden="1" customWidth="1"/>
    <col min="8" max="8" width="13.85546875" style="6" hidden="1" customWidth="1"/>
    <col min="9" max="9" width="12.5703125" style="6" hidden="1" customWidth="1"/>
    <col min="10" max="10" width="13.85546875" style="6" hidden="1" customWidth="1"/>
    <col min="11" max="11" width="14.28515625" style="6" hidden="1" customWidth="1"/>
    <col min="12" max="12" width="12.42578125" style="6" hidden="1" customWidth="1"/>
    <col min="13" max="13" width="19.85546875" style="6" customWidth="1"/>
    <col min="14" max="14" width="17.5703125" style="367" customWidth="1"/>
    <col min="15" max="15" width="16.7109375" style="6" customWidth="1"/>
    <col min="16" max="16" width="15" style="334" customWidth="1"/>
    <col min="17" max="17" width="35.85546875" style="306" customWidth="1"/>
    <col min="18" max="18" width="9.140625" style="1"/>
    <col min="19" max="19" width="9.85546875" style="1" bestFit="1" customWidth="1"/>
    <col min="20" max="16384" width="9.140625" style="1"/>
  </cols>
  <sheetData>
    <row r="1" spans="1:19" ht="84" customHeight="1">
      <c r="A1" s="879" t="s">
        <v>586</v>
      </c>
      <c r="B1" s="879"/>
      <c r="C1" s="879"/>
      <c r="D1" s="879"/>
      <c r="E1" s="879"/>
      <c r="F1" s="879"/>
      <c r="G1" s="879"/>
      <c r="H1" s="879"/>
      <c r="I1" s="879"/>
      <c r="J1" s="879"/>
      <c r="K1" s="879"/>
      <c r="L1" s="879"/>
      <c r="M1" s="879"/>
      <c r="N1" s="879"/>
      <c r="O1" s="879"/>
      <c r="P1" s="879"/>
      <c r="Q1" s="879"/>
    </row>
    <row r="2" spans="1:19" ht="15.75" customHeight="1">
      <c r="A2" s="682"/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3"/>
      <c r="O2" s="74"/>
      <c r="Q2" s="307"/>
    </row>
    <row r="3" spans="1:19" ht="23.25" customHeight="1">
      <c r="A3" s="925" t="s">
        <v>0</v>
      </c>
      <c r="B3" s="925" t="s">
        <v>1</v>
      </c>
      <c r="C3" s="925" t="s">
        <v>2</v>
      </c>
      <c r="D3" s="893" t="s">
        <v>305</v>
      </c>
      <c r="E3" s="927"/>
      <c r="F3" s="894"/>
      <c r="G3" s="893" t="s">
        <v>306</v>
      </c>
      <c r="H3" s="894"/>
      <c r="I3" s="906" t="s">
        <v>307</v>
      </c>
      <c r="J3" s="304" t="s">
        <v>308</v>
      </c>
      <c r="K3" s="305"/>
      <c r="L3" s="305"/>
      <c r="M3" s="898" t="s">
        <v>507</v>
      </c>
      <c r="N3" s="898" t="s">
        <v>569</v>
      </c>
      <c r="O3" s="883" t="s">
        <v>501</v>
      </c>
      <c r="P3" s="928" t="s">
        <v>509</v>
      </c>
      <c r="Q3" s="923" t="s">
        <v>503</v>
      </c>
    </row>
    <row r="4" spans="1:19" ht="59.25" customHeight="1">
      <c r="A4" s="926"/>
      <c r="B4" s="926"/>
      <c r="C4" s="926"/>
      <c r="D4" s="420" t="s">
        <v>309</v>
      </c>
      <c r="E4" s="80" t="s">
        <v>310</v>
      </c>
      <c r="F4" s="80" t="s">
        <v>3</v>
      </c>
      <c r="G4" s="420" t="s">
        <v>309</v>
      </c>
      <c r="H4" s="420" t="s">
        <v>311</v>
      </c>
      <c r="I4" s="907"/>
      <c r="J4" s="81" t="s">
        <v>312</v>
      </c>
      <c r="K4" s="422" t="s">
        <v>313</v>
      </c>
      <c r="L4" s="304" t="s">
        <v>170</v>
      </c>
      <c r="M4" s="898"/>
      <c r="N4" s="898"/>
      <c r="O4" s="884"/>
      <c r="P4" s="929"/>
      <c r="Q4" s="924"/>
    </row>
    <row r="5" spans="1:19" s="3" customFormat="1" ht="30" customHeight="1">
      <c r="A5" s="424" t="s">
        <v>59</v>
      </c>
      <c r="B5" s="425" t="s">
        <v>111</v>
      </c>
      <c r="C5" s="424" t="s">
        <v>58</v>
      </c>
      <c r="D5" s="82">
        <f t="shared" ref="D5:O5" si="0">D6+D11+D15+D16+D18</f>
        <v>12896.829999999998</v>
      </c>
      <c r="E5" s="82">
        <f t="shared" si="0"/>
        <v>424.30884877838679</v>
      </c>
      <c r="F5" s="82">
        <f t="shared" si="0"/>
        <v>4.1600554864103909</v>
      </c>
      <c r="G5" s="82">
        <f t="shared" si="0"/>
        <v>41406.769999999997</v>
      </c>
      <c r="H5" s="82">
        <f t="shared" si="0"/>
        <v>40281.045880374142</v>
      </c>
      <c r="I5" s="82">
        <f t="shared" si="0"/>
        <v>40705.354729152517</v>
      </c>
      <c r="J5" s="82">
        <f t="shared" si="0"/>
        <v>0</v>
      </c>
      <c r="K5" s="82">
        <f t="shared" si="0"/>
        <v>14956.989999999998</v>
      </c>
      <c r="L5" s="83">
        <f t="shared" si="0"/>
        <v>3069.6779999999999</v>
      </c>
      <c r="M5" s="82">
        <f t="shared" si="0"/>
        <v>42240.55</v>
      </c>
      <c r="N5" s="82">
        <f t="shared" si="0"/>
        <v>7535.5499999999993</v>
      </c>
      <c r="O5" s="300">
        <f t="shared" si="0"/>
        <v>-34704.999999999993</v>
      </c>
      <c r="P5" s="335">
        <f t="shared" ref="P5:P6" si="1">N5/M5*100-100</f>
        <v>-82.160388536607599</v>
      </c>
      <c r="Q5" s="300"/>
      <c r="S5" s="295"/>
    </row>
    <row r="6" spans="1:19" ht="15.75" customHeight="1">
      <c r="A6" s="85">
        <v>1</v>
      </c>
      <c r="B6" s="425" t="s">
        <v>112</v>
      </c>
      <c r="C6" s="424" t="s">
        <v>58</v>
      </c>
      <c r="D6" s="82">
        <f t="shared" ref="D6:O6" si="2">SUM(D7:D10)</f>
        <v>831.2</v>
      </c>
      <c r="E6" s="82">
        <f t="shared" si="2"/>
        <v>27.346682487448088</v>
      </c>
      <c r="F6" s="82">
        <f t="shared" si="2"/>
        <v>0</v>
      </c>
      <c r="G6" s="82">
        <f t="shared" si="2"/>
        <v>2536.6</v>
      </c>
      <c r="H6" s="82">
        <f t="shared" si="2"/>
        <v>2467.52</v>
      </c>
      <c r="I6" s="82">
        <f t="shared" si="2"/>
        <v>2494.8666824874481</v>
      </c>
      <c r="J6" s="82">
        <f t="shared" si="2"/>
        <v>0</v>
      </c>
      <c r="K6" s="82">
        <f t="shared" si="2"/>
        <v>747.06000000000006</v>
      </c>
      <c r="L6" s="83">
        <f t="shared" si="2"/>
        <v>522.06499999999994</v>
      </c>
      <c r="M6" s="82">
        <f t="shared" si="2"/>
        <v>3282.53</v>
      </c>
      <c r="N6" s="82">
        <f t="shared" si="2"/>
        <v>89.774000000000001</v>
      </c>
      <c r="O6" s="300">
        <f t="shared" si="2"/>
        <v>-3192.7559999999999</v>
      </c>
      <c r="P6" s="335">
        <f t="shared" si="1"/>
        <v>-97.265097348691413</v>
      </c>
      <c r="Q6" s="300"/>
    </row>
    <row r="7" spans="1:19" ht="15" customHeight="1">
      <c r="A7" s="86" t="s">
        <v>9</v>
      </c>
      <c r="B7" s="41" t="s">
        <v>12</v>
      </c>
      <c r="C7" s="87" t="s">
        <v>58</v>
      </c>
      <c r="D7" s="88">
        <v>831.2</v>
      </c>
      <c r="E7" s="88">
        <f>D7*$E$51</f>
        <v>27.346682487448088</v>
      </c>
      <c r="F7" s="88"/>
      <c r="G7" s="88">
        <v>2300</v>
      </c>
      <c r="H7" s="88">
        <f>ROUND(G7*$H$51,2)</f>
        <v>2237.36</v>
      </c>
      <c r="I7" s="88">
        <f>E7+H7</f>
        <v>2264.7066824874482</v>
      </c>
      <c r="J7" s="88"/>
      <c r="K7" s="89">
        <v>726.96900000000005</v>
      </c>
      <c r="L7" s="89">
        <v>158.482</v>
      </c>
      <c r="M7" s="88">
        <v>1306.5</v>
      </c>
      <c r="N7" s="327">
        <v>62.5</v>
      </c>
      <c r="O7" s="327">
        <f>N7-M7</f>
        <v>-1244</v>
      </c>
      <c r="P7" s="335">
        <f>N7/M7*100-100</f>
        <v>-95.216226559510147</v>
      </c>
      <c r="Q7" s="92" t="s">
        <v>579</v>
      </c>
      <c r="R7" s="8"/>
    </row>
    <row r="8" spans="1:19">
      <c r="A8" s="86" t="s">
        <v>11</v>
      </c>
      <c r="B8" s="41" t="s">
        <v>314</v>
      </c>
      <c r="C8" s="87" t="s">
        <v>58</v>
      </c>
      <c r="D8" s="88"/>
      <c r="E8" s="88"/>
      <c r="F8" s="88"/>
      <c r="G8" s="88">
        <v>100</v>
      </c>
      <c r="H8" s="88">
        <f>ROUND(G8*$H$51,2)</f>
        <v>97.28</v>
      </c>
      <c r="I8" s="88">
        <f>E8+H8</f>
        <v>97.28</v>
      </c>
      <c r="J8" s="88"/>
      <c r="K8" s="89"/>
      <c r="L8" s="89">
        <v>356.19799999999998</v>
      </c>
      <c r="M8" s="88">
        <v>1056.79</v>
      </c>
      <c r="N8" s="327">
        <v>4.407</v>
      </c>
      <c r="O8" s="327">
        <f t="shared" ref="O8:O10" si="3">N8-M8</f>
        <v>-1052.383</v>
      </c>
      <c r="P8" s="335">
        <f t="shared" ref="P8:P48" si="4">N8/M8*100-100</f>
        <v>-99.582982427918509</v>
      </c>
      <c r="Q8" s="92" t="s">
        <v>579</v>
      </c>
      <c r="R8" s="8"/>
    </row>
    <row r="9" spans="1:19">
      <c r="A9" s="86" t="s">
        <v>13</v>
      </c>
      <c r="B9" s="41" t="s">
        <v>315</v>
      </c>
      <c r="C9" s="87" t="s">
        <v>58</v>
      </c>
      <c r="D9" s="88"/>
      <c r="E9" s="88"/>
      <c r="F9" s="88"/>
      <c r="G9" s="88">
        <v>96</v>
      </c>
      <c r="H9" s="88">
        <f>ROUND(G9*$H$51,2)</f>
        <v>93.39</v>
      </c>
      <c r="I9" s="88">
        <f>E9+H9</f>
        <v>93.39</v>
      </c>
      <c r="J9" s="88"/>
      <c r="K9" s="89"/>
      <c r="L9" s="89"/>
      <c r="M9" s="88">
        <v>64.3</v>
      </c>
      <c r="N9" s="327">
        <v>22.867000000000001</v>
      </c>
      <c r="O9" s="327">
        <f t="shared" si="3"/>
        <v>-41.432999999999993</v>
      </c>
      <c r="P9" s="335">
        <f t="shared" si="4"/>
        <v>-64.437013996889576</v>
      </c>
      <c r="Q9" s="92" t="s">
        <v>579</v>
      </c>
      <c r="R9" s="8"/>
    </row>
    <row r="10" spans="1:19" ht="16.5" customHeight="1">
      <c r="A10" s="86" t="s">
        <v>14</v>
      </c>
      <c r="B10" s="41" t="s">
        <v>557</v>
      </c>
      <c r="C10" s="87" t="s">
        <v>58</v>
      </c>
      <c r="D10" s="88"/>
      <c r="E10" s="88"/>
      <c r="F10" s="88"/>
      <c r="G10" s="88">
        <v>40.6</v>
      </c>
      <c r="H10" s="88">
        <f>ROUND(G10*$H$51,2)</f>
        <v>39.49</v>
      </c>
      <c r="I10" s="88">
        <f>E10+H10</f>
        <v>39.49</v>
      </c>
      <c r="J10" s="88"/>
      <c r="K10" s="89">
        <v>20.091000000000001</v>
      </c>
      <c r="L10" s="89">
        <v>7.3849999999999998</v>
      </c>
      <c r="M10" s="88">
        <v>854.94</v>
      </c>
      <c r="N10" s="88"/>
      <c r="O10" s="327">
        <f t="shared" si="3"/>
        <v>-854.94</v>
      </c>
      <c r="P10" s="335">
        <f t="shared" si="4"/>
        <v>-100</v>
      </c>
      <c r="Q10" s="92" t="s">
        <v>579</v>
      </c>
      <c r="R10" s="8"/>
    </row>
    <row r="11" spans="1:19" ht="15.75" customHeight="1">
      <c r="A11" s="85">
        <v>2</v>
      </c>
      <c r="B11" s="425" t="s">
        <v>200</v>
      </c>
      <c r="C11" s="424" t="s">
        <v>58</v>
      </c>
      <c r="D11" s="82">
        <f>SUM(D12:D14)</f>
        <v>7281.7499999999991</v>
      </c>
      <c r="E11" s="82">
        <f t="shared" ref="E11:J11" si="5">SUM(E12:E14)</f>
        <v>239.57134889674577</v>
      </c>
      <c r="F11" s="82">
        <f t="shared" si="5"/>
        <v>0</v>
      </c>
      <c r="G11" s="82">
        <f t="shared" si="5"/>
        <v>31209.399999999998</v>
      </c>
      <c r="H11" s="82">
        <f t="shared" si="5"/>
        <v>30359.43</v>
      </c>
      <c r="I11" s="82">
        <f>SUM(I12:I14)</f>
        <v>30599.001348896745</v>
      </c>
      <c r="J11" s="82">
        <f t="shared" si="5"/>
        <v>0</v>
      </c>
      <c r="K11" s="82">
        <f>SUM(K12:K14)</f>
        <v>11609.076999999999</v>
      </c>
      <c r="L11" s="83">
        <f>SUM(L12:L14)</f>
        <v>2242.5439999999999</v>
      </c>
      <c r="M11" s="82">
        <f>SUM(M12:M14)</f>
        <v>32345.899999999998</v>
      </c>
      <c r="N11" s="82">
        <f>SUM(N12:N14)</f>
        <v>6180.4969999999994</v>
      </c>
      <c r="O11" s="300">
        <f t="shared" ref="O11" si="6">SUM(O12:O14)</f>
        <v>-26165.402999999998</v>
      </c>
      <c r="P11" s="335">
        <f t="shared" si="4"/>
        <v>-80.892487146748124</v>
      </c>
      <c r="Q11" s="92"/>
      <c r="R11" s="14"/>
      <c r="S11" s="90"/>
    </row>
    <row r="12" spans="1:19" ht="15.75" customHeight="1">
      <c r="A12" s="87" t="s">
        <v>19</v>
      </c>
      <c r="B12" s="41" t="s">
        <v>79</v>
      </c>
      <c r="C12" s="87" t="s">
        <v>58</v>
      </c>
      <c r="D12" s="88">
        <v>6625.2199999999993</v>
      </c>
      <c r="E12" s="88">
        <f>D12*$E$51</f>
        <v>217.97135196040759</v>
      </c>
      <c r="F12" s="88"/>
      <c r="G12" s="88">
        <v>28116.6</v>
      </c>
      <c r="H12" s="88">
        <f>ROUND(G12*$H$51,2)</f>
        <v>27350.86</v>
      </c>
      <c r="I12" s="88">
        <f>E12+H12</f>
        <v>27568.831351960409</v>
      </c>
      <c r="J12" s="88"/>
      <c r="K12" s="89">
        <v>10609.585999999999</v>
      </c>
      <c r="L12" s="89">
        <v>2016.681</v>
      </c>
      <c r="M12" s="88">
        <v>29432.12</v>
      </c>
      <c r="N12" s="327">
        <v>5614.7179999999998</v>
      </c>
      <c r="O12" s="327">
        <f>N12-M12</f>
        <v>-23817.401999999998</v>
      </c>
      <c r="P12" s="335">
        <f t="shared" si="4"/>
        <v>-80.923161498390186</v>
      </c>
      <c r="Q12" s="92" t="s">
        <v>579</v>
      </c>
      <c r="S12" s="91"/>
    </row>
    <row r="13" spans="1:19" ht="15.75" customHeight="1">
      <c r="A13" s="87" t="s">
        <v>21</v>
      </c>
      <c r="B13" s="41" t="s">
        <v>22</v>
      </c>
      <c r="C13" s="87" t="s">
        <v>58</v>
      </c>
      <c r="D13" s="88">
        <v>358.4</v>
      </c>
      <c r="E13" s="88">
        <f>D13*$E$51</f>
        <v>11.791447309313515</v>
      </c>
      <c r="F13" s="88"/>
      <c r="G13" s="88">
        <v>1687</v>
      </c>
      <c r="H13" s="88">
        <f>ROUND(G13*$H$51,2)</f>
        <v>1641.06</v>
      </c>
      <c r="I13" s="88">
        <f>E13+H13</f>
        <v>1652.8514473093135</v>
      </c>
      <c r="J13" s="88"/>
      <c r="K13" s="89">
        <v>589.303</v>
      </c>
      <c r="L13" s="89">
        <v>133.44800000000001</v>
      </c>
      <c r="M13" s="88">
        <v>1589.33</v>
      </c>
      <c r="N13" s="327">
        <v>326.15600000000001</v>
      </c>
      <c r="O13" s="327">
        <f t="shared" ref="O13:O15" si="7">N13-M13</f>
        <v>-1263.174</v>
      </c>
      <c r="P13" s="335">
        <f t="shared" si="4"/>
        <v>-79.478396557039758</v>
      </c>
      <c r="Q13" s="92" t="s">
        <v>579</v>
      </c>
      <c r="S13" s="91"/>
    </row>
    <row r="14" spans="1:19" ht="15.75" customHeight="1">
      <c r="A14" s="87" t="s">
        <v>23</v>
      </c>
      <c r="B14" s="92" t="s">
        <v>46</v>
      </c>
      <c r="C14" s="87" t="s">
        <v>58</v>
      </c>
      <c r="D14" s="88">
        <v>298.13</v>
      </c>
      <c r="E14" s="88">
        <f>D14*$E$51</f>
        <v>9.8085496270246608</v>
      </c>
      <c r="F14" s="88"/>
      <c r="G14" s="88">
        <v>1405.8</v>
      </c>
      <c r="H14" s="88">
        <f>ROUND(G14*$H$51,2)</f>
        <v>1367.51</v>
      </c>
      <c r="I14" s="88">
        <f>E14+H14</f>
        <v>1377.3185496270246</v>
      </c>
      <c r="J14" s="88"/>
      <c r="K14" s="89">
        <v>410.18799999999999</v>
      </c>
      <c r="L14" s="89">
        <v>92.415000000000006</v>
      </c>
      <c r="M14" s="88">
        <v>1324.45</v>
      </c>
      <c r="N14" s="327">
        <v>239.62299999999999</v>
      </c>
      <c r="O14" s="327">
        <f t="shared" si="7"/>
        <v>-1084.827</v>
      </c>
      <c r="P14" s="335">
        <f t="shared" si="4"/>
        <v>-81.907735286345272</v>
      </c>
      <c r="Q14" s="92" t="s">
        <v>579</v>
      </c>
      <c r="S14" s="91"/>
    </row>
    <row r="15" spans="1:19" ht="15.75" customHeight="1">
      <c r="A15" s="85">
        <v>3</v>
      </c>
      <c r="B15" s="425" t="s">
        <v>80</v>
      </c>
      <c r="C15" s="424" t="s">
        <v>58</v>
      </c>
      <c r="D15" s="82">
        <v>3843.27</v>
      </c>
      <c r="E15" s="82">
        <f>D15*$E$51</f>
        <v>126.44451925353057</v>
      </c>
      <c r="F15" s="82">
        <f>E15*$E$51</f>
        <v>4.1600554864103909</v>
      </c>
      <c r="G15" s="82">
        <v>4200</v>
      </c>
      <c r="H15" s="82">
        <f>G15*$H$51</f>
        <v>4085.6158803741396</v>
      </c>
      <c r="I15" s="82">
        <f>E15+H15</f>
        <v>4212.0603996276704</v>
      </c>
      <c r="J15" s="82"/>
      <c r="K15" s="83">
        <v>1260.9780000000001</v>
      </c>
      <c r="L15" s="83">
        <v>2.496</v>
      </c>
      <c r="M15" s="82">
        <v>3929.84</v>
      </c>
      <c r="N15" s="300">
        <v>1076.539</v>
      </c>
      <c r="O15" s="327">
        <f t="shared" si="7"/>
        <v>-2853.3010000000004</v>
      </c>
      <c r="P15" s="335">
        <f t="shared" si="4"/>
        <v>-72.606034851291653</v>
      </c>
      <c r="Q15" s="92" t="s">
        <v>579</v>
      </c>
    </row>
    <row r="16" spans="1:19" ht="15.75" customHeight="1">
      <c r="A16" s="85">
        <v>4</v>
      </c>
      <c r="B16" s="425" t="s">
        <v>115</v>
      </c>
      <c r="C16" s="424" t="s">
        <v>58</v>
      </c>
      <c r="D16" s="82">
        <f>SUM(D17:D17)</f>
        <v>870.55</v>
      </c>
      <c r="E16" s="82">
        <f t="shared" ref="E16:J16" si="8">SUM(E17:E17)</f>
        <v>28.641307073445539</v>
      </c>
      <c r="F16" s="82">
        <f t="shared" si="8"/>
        <v>0</v>
      </c>
      <c r="G16" s="82">
        <f t="shared" si="8"/>
        <v>1500</v>
      </c>
      <c r="H16" s="82">
        <f t="shared" si="8"/>
        <v>1459.15</v>
      </c>
      <c r="I16" s="82">
        <f>SUM(I17:I17)</f>
        <v>1487.7913070734455</v>
      </c>
      <c r="J16" s="82">
        <f t="shared" si="8"/>
        <v>0</v>
      </c>
      <c r="K16" s="82">
        <f>SUM(K17:K17)</f>
        <v>101.65</v>
      </c>
      <c r="L16" s="83">
        <f>SUM(L17:L17)</f>
        <v>0</v>
      </c>
      <c r="M16" s="82">
        <f>SUM(M17:M17)</f>
        <v>762.52</v>
      </c>
      <c r="N16" s="82">
        <f>SUM(N17:N17)</f>
        <v>0</v>
      </c>
      <c r="O16" s="300">
        <f t="shared" ref="O16" si="9">SUM(O17:O17)</f>
        <v>-762.52</v>
      </c>
      <c r="P16" s="335">
        <f t="shared" si="4"/>
        <v>-100</v>
      </c>
      <c r="Q16" s="92"/>
    </row>
    <row r="17" spans="1:20" ht="26.25" customHeight="1">
      <c r="A17" s="86" t="s">
        <v>26</v>
      </c>
      <c r="B17" s="41" t="s">
        <v>27</v>
      </c>
      <c r="C17" s="87" t="s">
        <v>58</v>
      </c>
      <c r="D17" s="88">
        <v>870.55</v>
      </c>
      <c r="E17" s="88">
        <f>D17*$E$51</f>
        <v>28.641307073445539</v>
      </c>
      <c r="F17" s="88"/>
      <c r="G17" s="88">
        <v>1500</v>
      </c>
      <c r="H17" s="88">
        <f>ROUND(G17*$H$51,2)</f>
        <v>1459.15</v>
      </c>
      <c r="I17" s="88">
        <f>E17+H17</f>
        <v>1487.7913070734455</v>
      </c>
      <c r="J17" s="88"/>
      <c r="K17" s="89">
        <v>101.65</v>
      </c>
      <c r="L17" s="89"/>
      <c r="M17" s="88">
        <v>762.52</v>
      </c>
      <c r="N17" s="88"/>
      <c r="O17" s="327">
        <f>N17-M17</f>
        <v>-762.52</v>
      </c>
      <c r="P17" s="335">
        <f t="shared" si="4"/>
        <v>-100</v>
      </c>
      <c r="Q17" s="92" t="s">
        <v>579</v>
      </c>
    </row>
    <row r="18" spans="1:20" ht="17.25" customHeight="1">
      <c r="A18" s="85">
        <v>5</v>
      </c>
      <c r="B18" s="425" t="s">
        <v>316</v>
      </c>
      <c r="C18" s="424" t="s">
        <v>58</v>
      </c>
      <c r="D18" s="82">
        <f>SUM(D19:D26)</f>
        <v>70.06</v>
      </c>
      <c r="E18" s="82">
        <f>SUM(E19:E26)</f>
        <v>2.3049910672168106</v>
      </c>
      <c r="F18" s="82"/>
      <c r="G18" s="82">
        <f t="shared" ref="G18:O18" si="10">SUM(G19:G26)</f>
        <v>1960.77</v>
      </c>
      <c r="H18" s="82">
        <f t="shared" si="10"/>
        <v>1909.3299999999997</v>
      </c>
      <c r="I18" s="82">
        <f t="shared" si="10"/>
        <v>1911.6349910672166</v>
      </c>
      <c r="J18" s="82">
        <f t="shared" si="10"/>
        <v>0</v>
      </c>
      <c r="K18" s="82">
        <f t="shared" si="10"/>
        <v>1238.2250000000001</v>
      </c>
      <c r="L18" s="83">
        <f t="shared" si="10"/>
        <v>302.57299999999998</v>
      </c>
      <c r="M18" s="82">
        <f t="shared" si="10"/>
        <v>1919.7600000000002</v>
      </c>
      <c r="N18" s="82">
        <f t="shared" si="10"/>
        <v>188.73999999999998</v>
      </c>
      <c r="O18" s="300">
        <f t="shared" si="10"/>
        <v>-1731.02</v>
      </c>
      <c r="P18" s="335">
        <f t="shared" si="4"/>
        <v>-90.168562737008799</v>
      </c>
      <c r="Q18" s="92"/>
    </row>
    <row r="19" spans="1:20" s="6" customFormat="1" ht="17.25" customHeight="1">
      <c r="A19" s="86" t="s">
        <v>29</v>
      </c>
      <c r="B19" s="41" t="s">
        <v>30</v>
      </c>
      <c r="C19" s="87" t="s">
        <v>58</v>
      </c>
      <c r="D19" s="88"/>
      <c r="E19" s="88"/>
      <c r="F19" s="88"/>
      <c r="G19" s="88">
        <v>111.3</v>
      </c>
      <c r="H19" s="88">
        <f>ROUND(G19*$H$51,2)</f>
        <v>108.27</v>
      </c>
      <c r="I19" s="88">
        <f t="shared" ref="I19:I26" si="11">E19+H19</f>
        <v>108.27</v>
      </c>
      <c r="J19" s="88"/>
      <c r="K19" s="89">
        <v>116.196</v>
      </c>
      <c r="L19" s="89">
        <v>26.657</v>
      </c>
      <c r="M19" s="88">
        <v>244.5</v>
      </c>
      <c r="N19" s="327">
        <f>11.405+62.07+14.539</f>
        <v>88.013999999999996</v>
      </c>
      <c r="O19" s="327">
        <f>N19-M19</f>
        <v>-156.48599999999999</v>
      </c>
      <c r="P19" s="335">
        <f t="shared" si="4"/>
        <v>-64.002453987730064</v>
      </c>
      <c r="Q19" s="92" t="s">
        <v>579</v>
      </c>
    </row>
    <row r="20" spans="1:20">
      <c r="A20" s="86" t="s">
        <v>31</v>
      </c>
      <c r="B20" s="41" t="s">
        <v>132</v>
      </c>
      <c r="C20" s="87" t="s">
        <v>58</v>
      </c>
      <c r="D20" s="88"/>
      <c r="E20" s="88"/>
      <c r="F20" s="88"/>
      <c r="G20" s="88">
        <v>1200</v>
      </c>
      <c r="H20" s="88">
        <f>ROUND(G20*$H$51,2)</f>
        <v>1167.32</v>
      </c>
      <c r="I20" s="88">
        <f t="shared" si="11"/>
        <v>1167.32</v>
      </c>
      <c r="J20" s="88"/>
      <c r="K20" s="89">
        <v>197.488</v>
      </c>
      <c r="L20" s="89"/>
      <c r="M20" s="88">
        <v>280.77</v>
      </c>
      <c r="N20" s="88"/>
      <c r="O20" s="327">
        <f t="shared" ref="O20:O26" si="12">N20-M20</f>
        <v>-280.77</v>
      </c>
      <c r="P20" s="335">
        <f t="shared" si="4"/>
        <v>-100</v>
      </c>
      <c r="Q20" s="92" t="s">
        <v>579</v>
      </c>
    </row>
    <row r="21" spans="1:20">
      <c r="A21" s="86" t="s">
        <v>33</v>
      </c>
      <c r="B21" s="41" t="s">
        <v>209</v>
      </c>
      <c r="C21" s="87" t="s">
        <v>58</v>
      </c>
      <c r="D21" s="88"/>
      <c r="E21" s="88"/>
      <c r="F21" s="88"/>
      <c r="G21" s="88">
        <v>200</v>
      </c>
      <c r="H21" s="88">
        <f>ROUND(G21*$H$51,2)</f>
        <v>194.55</v>
      </c>
      <c r="I21" s="88">
        <f t="shared" si="11"/>
        <v>194.55</v>
      </c>
      <c r="J21" s="88"/>
      <c r="K21" s="89">
        <v>110.292</v>
      </c>
      <c r="L21" s="89">
        <v>33.936</v>
      </c>
      <c r="M21" s="88">
        <v>329.43</v>
      </c>
      <c r="N21" s="88"/>
      <c r="O21" s="327">
        <f t="shared" si="12"/>
        <v>-329.43</v>
      </c>
      <c r="P21" s="335">
        <f t="shared" si="4"/>
        <v>-100</v>
      </c>
      <c r="Q21" s="92" t="s">
        <v>579</v>
      </c>
    </row>
    <row r="22" spans="1:20">
      <c r="A22" s="86" t="s">
        <v>35</v>
      </c>
      <c r="B22" s="94" t="s">
        <v>531</v>
      </c>
      <c r="C22" s="87" t="s">
        <v>58</v>
      </c>
      <c r="D22" s="88"/>
      <c r="E22" s="88"/>
      <c r="F22" s="88"/>
      <c r="G22" s="88"/>
      <c r="H22" s="88"/>
      <c r="I22" s="88">
        <f t="shared" si="11"/>
        <v>0</v>
      </c>
      <c r="J22" s="88"/>
      <c r="K22" s="89">
        <v>749.62</v>
      </c>
      <c r="L22" s="89">
        <v>241.98</v>
      </c>
      <c r="M22" s="88">
        <v>12.12</v>
      </c>
      <c r="N22" s="88"/>
      <c r="O22" s="327">
        <f t="shared" si="12"/>
        <v>-12.12</v>
      </c>
      <c r="P22" s="335">
        <f t="shared" si="4"/>
        <v>-100</v>
      </c>
      <c r="Q22" s="92" t="s">
        <v>579</v>
      </c>
    </row>
    <row r="23" spans="1:20">
      <c r="A23" s="86" t="s">
        <v>36</v>
      </c>
      <c r="B23" s="41" t="s">
        <v>134</v>
      </c>
      <c r="C23" s="87" t="s">
        <v>58</v>
      </c>
      <c r="D23" s="88"/>
      <c r="E23" s="88"/>
      <c r="F23" s="88"/>
      <c r="G23" s="88">
        <v>59.37</v>
      </c>
      <c r="H23" s="88">
        <v>59.37</v>
      </c>
      <c r="I23" s="88">
        <f t="shared" si="11"/>
        <v>59.37</v>
      </c>
      <c r="J23" s="88"/>
      <c r="K23" s="89">
        <v>47.496000000000002</v>
      </c>
      <c r="L23" s="89"/>
      <c r="M23" s="88">
        <v>1.34</v>
      </c>
      <c r="N23" s="327">
        <v>49.917999999999999</v>
      </c>
      <c r="O23" s="327">
        <f t="shared" si="12"/>
        <v>48.577999999999996</v>
      </c>
      <c r="P23" s="335">
        <f t="shared" si="4"/>
        <v>3625.2238805970146</v>
      </c>
      <c r="Q23" s="92" t="s">
        <v>579</v>
      </c>
    </row>
    <row r="24" spans="1:20">
      <c r="A24" s="86" t="s">
        <v>37</v>
      </c>
      <c r="B24" s="41" t="s">
        <v>558</v>
      </c>
      <c r="C24" s="87" t="s">
        <v>58</v>
      </c>
      <c r="D24" s="88"/>
      <c r="E24" s="88"/>
      <c r="F24" s="88"/>
      <c r="G24" s="88">
        <v>12.5</v>
      </c>
      <c r="H24" s="88">
        <v>12.5</v>
      </c>
      <c r="I24" s="88">
        <f t="shared" si="11"/>
        <v>12.5</v>
      </c>
      <c r="J24" s="88"/>
      <c r="K24" s="89">
        <v>12.8</v>
      </c>
      <c r="L24" s="89"/>
      <c r="M24" s="88">
        <v>991.6</v>
      </c>
      <c r="N24" s="88"/>
      <c r="O24" s="327">
        <f t="shared" si="12"/>
        <v>-991.6</v>
      </c>
      <c r="P24" s="335">
        <f t="shared" si="4"/>
        <v>-100</v>
      </c>
      <c r="Q24" s="92" t="s">
        <v>579</v>
      </c>
    </row>
    <row r="25" spans="1:20" ht="15" customHeight="1">
      <c r="A25" s="86" t="s">
        <v>39</v>
      </c>
      <c r="B25" s="41" t="s">
        <v>559</v>
      </c>
      <c r="C25" s="87" t="s">
        <v>58</v>
      </c>
      <c r="D25" s="88">
        <v>70.06</v>
      </c>
      <c r="E25" s="88">
        <f>D25*$E$51</f>
        <v>2.3049910672168106</v>
      </c>
      <c r="F25" s="88"/>
      <c r="G25" s="88">
        <v>377.6</v>
      </c>
      <c r="H25" s="88">
        <f>ROUND(G25*$H$51,2)</f>
        <v>367.32</v>
      </c>
      <c r="I25" s="88">
        <f t="shared" si="11"/>
        <v>369.6249910672168</v>
      </c>
      <c r="J25" s="88"/>
      <c r="K25" s="89">
        <v>4.3330000000000002</v>
      </c>
      <c r="L25" s="89"/>
      <c r="M25" s="88">
        <v>12.5</v>
      </c>
      <c r="N25" s="88"/>
      <c r="O25" s="327">
        <f t="shared" si="12"/>
        <v>-12.5</v>
      </c>
      <c r="P25" s="335">
        <f t="shared" si="4"/>
        <v>-100</v>
      </c>
      <c r="Q25" s="92" t="s">
        <v>579</v>
      </c>
    </row>
    <row r="26" spans="1:20">
      <c r="A26" s="86" t="s">
        <v>40</v>
      </c>
      <c r="B26" s="41" t="s">
        <v>229</v>
      </c>
      <c r="C26" s="87" t="s">
        <v>58</v>
      </c>
      <c r="D26" s="88"/>
      <c r="E26" s="88">
        <f>D26/12*5</f>
        <v>0</v>
      </c>
      <c r="F26" s="88"/>
      <c r="G26" s="88"/>
      <c r="H26" s="88">
        <f>G26*$H$51</f>
        <v>0</v>
      </c>
      <c r="I26" s="88">
        <f t="shared" si="11"/>
        <v>0</v>
      </c>
      <c r="J26" s="88"/>
      <c r="K26" s="89"/>
      <c r="L26" s="89"/>
      <c r="M26" s="88">
        <v>47.5</v>
      </c>
      <c r="N26" s="327">
        <v>50.808</v>
      </c>
      <c r="O26" s="327">
        <f t="shared" si="12"/>
        <v>3.3079999999999998</v>
      </c>
      <c r="P26" s="335">
        <f t="shared" si="4"/>
        <v>6.9642105263157958</v>
      </c>
      <c r="Q26" s="92" t="s">
        <v>579</v>
      </c>
    </row>
    <row r="27" spans="1:20">
      <c r="A27" s="424" t="s">
        <v>82</v>
      </c>
      <c r="B27" s="425" t="s">
        <v>83</v>
      </c>
      <c r="C27" s="424" t="s">
        <v>58</v>
      </c>
      <c r="D27" s="82" t="e">
        <f>D28</f>
        <v>#REF!</v>
      </c>
      <c r="E27" s="82" t="e">
        <f t="shared" ref="E27:J27" si="13">E28</f>
        <v>#REF!</v>
      </c>
      <c r="F27" s="82"/>
      <c r="G27" s="82" t="e">
        <f t="shared" si="13"/>
        <v>#REF!</v>
      </c>
      <c r="H27" s="82" t="e">
        <f t="shared" si="13"/>
        <v>#REF!</v>
      </c>
      <c r="I27" s="82" t="e">
        <f>I28</f>
        <v>#REF!</v>
      </c>
      <c r="J27" s="82" t="e">
        <f t="shared" si="13"/>
        <v>#REF!</v>
      </c>
      <c r="K27" s="83" t="e">
        <f>K28</f>
        <v>#REF!</v>
      </c>
      <c r="L27" s="83" t="e">
        <f>L28</f>
        <v>#REF!</v>
      </c>
      <c r="M27" s="82">
        <f>M28+M32+M40</f>
        <v>8872.1849999999995</v>
      </c>
      <c r="N27" s="82">
        <f>N28+N32+N40</f>
        <v>2877.2889999999998</v>
      </c>
      <c r="O27" s="82">
        <f t="shared" ref="O27" si="14">O28+O32+O40</f>
        <v>-6838.7240000000011</v>
      </c>
      <c r="P27" s="335">
        <f t="shared" si="4"/>
        <v>-67.569555864761611</v>
      </c>
      <c r="Q27" s="92"/>
      <c r="R27" s="3"/>
      <c r="S27" s="3"/>
      <c r="T27" s="3"/>
    </row>
    <row r="28" spans="1:20" ht="31.5">
      <c r="A28" s="85">
        <v>6</v>
      </c>
      <c r="B28" s="425" t="s">
        <v>84</v>
      </c>
      <c r="C28" s="424" t="s">
        <v>58</v>
      </c>
      <c r="D28" s="82" t="e">
        <f>#REF!+D32+D40+#REF!</f>
        <v>#REF!</v>
      </c>
      <c r="E28" s="82" t="e">
        <f>#REF!+E32+E40+#REF!</f>
        <v>#REF!</v>
      </c>
      <c r="F28" s="82"/>
      <c r="G28" s="82" t="e">
        <f>#REF!+G32+G40+#REF!</f>
        <v>#REF!</v>
      </c>
      <c r="H28" s="82" t="e">
        <f>#REF!+H32+H40+#REF!</f>
        <v>#REF!</v>
      </c>
      <c r="I28" s="82" t="e">
        <f>#REF!+I32+I40+#REF!</f>
        <v>#REF!</v>
      </c>
      <c r="J28" s="82" t="e">
        <f>#REF!+J32+J40+#REF!</f>
        <v>#REF!</v>
      </c>
      <c r="K28" s="82" t="e">
        <f>#REF!+K32+K40+#REF!</f>
        <v>#REF!</v>
      </c>
      <c r="L28" s="83" t="e">
        <f>#REF!+L32+L40+#REF!</f>
        <v>#REF!</v>
      </c>
      <c r="M28" s="82">
        <f>SUM(M29:M31)</f>
        <v>5941.1940000000004</v>
      </c>
      <c r="N28" s="82">
        <f>SUM(N29:N31)</f>
        <v>1607.874</v>
      </c>
      <c r="O28" s="82">
        <f t="shared" ref="O28" si="15">SUM(O29:O31)</f>
        <v>-4333.3200000000006</v>
      </c>
      <c r="P28" s="335">
        <f t="shared" si="4"/>
        <v>-72.936854107103727</v>
      </c>
      <c r="Q28" s="92"/>
      <c r="T28" s="14"/>
    </row>
    <row r="29" spans="1:20" ht="15" customHeight="1">
      <c r="A29" s="86" t="s">
        <v>44</v>
      </c>
      <c r="B29" s="41" t="s">
        <v>162</v>
      </c>
      <c r="C29" s="87" t="s">
        <v>58</v>
      </c>
      <c r="D29" s="88"/>
      <c r="E29" s="88"/>
      <c r="F29" s="88"/>
      <c r="G29" s="88">
        <v>4800.3599999999997</v>
      </c>
      <c r="H29" s="88">
        <f>G29*$H$51</f>
        <v>4669.6254875030481</v>
      </c>
      <c r="I29" s="88">
        <f>E29+H29</f>
        <v>4669.6254875030481</v>
      </c>
      <c r="J29" s="88"/>
      <c r="K29" s="89">
        <v>2294.7399999999998</v>
      </c>
      <c r="L29" s="89">
        <v>400.03</v>
      </c>
      <c r="M29" s="88">
        <v>5406</v>
      </c>
      <c r="N29" s="327">
        <v>1461.7190000000001</v>
      </c>
      <c r="O29" s="327">
        <f>N29-M29</f>
        <v>-3944.2809999999999</v>
      </c>
      <c r="P29" s="335">
        <f t="shared" si="4"/>
        <v>-72.961172770995191</v>
      </c>
      <c r="Q29" s="92" t="s">
        <v>579</v>
      </c>
    </row>
    <row r="30" spans="1:20" ht="15" customHeight="1">
      <c r="A30" s="86" t="s">
        <v>47</v>
      </c>
      <c r="B30" s="41" t="s">
        <v>163</v>
      </c>
      <c r="C30" s="87" t="s">
        <v>58</v>
      </c>
      <c r="D30" s="88"/>
      <c r="E30" s="88"/>
      <c r="F30" s="88"/>
      <c r="G30" s="88">
        <v>288</v>
      </c>
      <c r="H30" s="88">
        <f>G30*$H$51</f>
        <v>280.15651751136954</v>
      </c>
      <c r="I30" s="88">
        <f>E30+H30</f>
        <v>280.15651751136954</v>
      </c>
      <c r="J30" s="88"/>
      <c r="K30" s="89">
        <v>123.916</v>
      </c>
      <c r="L30" s="89">
        <v>21.602</v>
      </c>
      <c r="M30" s="88">
        <v>291.92399999999998</v>
      </c>
      <c r="N30" s="327">
        <v>79.721000000000004</v>
      </c>
      <c r="O30" s="327">
        <f t="shared" ref="O30:O31" si="16">N30-M30</f>
        <v>-212.20299999999997</v>
      </c>
      <c r="P30" s="335">
        <f t="shared" si="4"/>
        <v>-72.691179896137356</v>
      </c>
      <c r="Q30" s="92" t="s">
        <v>579</v>
      </c>
    </row>
    <row r="31" spans="1:20" ht="15" customHeight="1">
      <c r="A31" s="86" t="s">
        <v>48</v>
      </c>
      <c r="B31" s="92" t="s">
        <v>128</v>
      </c>
      <c r="C31" s="87" t="s">
        <v>58</v>
      </c>
      <c r="D31" s="88"/>
      <c r="E31" s="88"/>
      <c r="F31" s="88"/>
      <c r="G31" s="88">
        <v>240</v>
      </c>
      <c r="H31" s="88">
        <f>G31*$H$51</f>
        <v>233.46376459280796</v>
      </c>
      <c r="I31" s="88">
        <f>E31+H31</f>
        <v>233.46376459280796</v>
      </c>
      <c r="J31" s="88"/>
      <c r="K31" s="89">
        <v>103.264</v>
      </c>
      <c r="L31" s="89">
        <v>18.001000000000001</v>
      </c>
      <c r="M31" s="88">
        <v>243.27</v>
      </c>
      <c r="N31" s="327">
        <v>66.433999999999997</v>
      </c>
      <c r="O31" s="327">
        <f t="shared" si="16"/>
        <v>-176.83600000000001</v>
      </c>
      <c r="P31" s="335">
        <f t="shared" si="4"/>
        <v>-72.691248407119659</v>
      </c>
      <c r="Q31" s="92" t="s">
        <v>579</v>
      </c>
    </row>
    <row r="32" spans="1:20" ht="15" customHeight="1">
      <c r="A32" s="95" t="s">
        <v>118</v>
      </c>
      <c r="B32" s="425" t="s">
        <v>164</v>
      </c>
      <c r="C32" s="424" t="s">
        <v>58</v>
      </c>
      <c r="D32" s="82">
        <f>SUM(D33:D34)+SUM(D37:D39)</f>
        <v>1529.22</v>
      </c>
      <c r="E32" s="82">
        <f>SUM(E33:E34)+SUM(E37:E39)</f>
        <v>50.311710531106066</v>
      </c>
      <c r="F32" s="82"/>
      <c r="G32" s="82">
        <f t="shared" ref="G32:L32" si="17">SUM(G33:G34)+SUM(G37:G39)</f>
        <v>2186.3500000000004</v>
      </c>
      <c r="H32" s="82">
        <f t="shared" si="17"/>
        <v>2170.2025027696741</v>
      </c>
      <c r="I32" s="82">
        <f t="shared" si="17"/>
        <v>2220.5142133007803</v>
      </c>
      <c r="J32" s="82">
        <f t="shared" si="17"/>
        <v>0</v>
      </c>
      <c r="K32" s="82">
        <f t="shared" si="17"/>
        <v>559.99400000000003</v>
      </c>
      <c r="L32" s="83">
        <f t="shared" si="17"/>
        <v>1354.1980000000001</v>
      </c>
      <c r="M32" s="82">
        <f>M33+M34+M37+M38+M39</f>
        <v>2083.41</v>
      </c>
      <c r="N32" s="82">
        <f t="shared" ref="N32:O32" si="18">SUM(N33:N34)+SUM(N37:N39)</f>
        <v>204.22200000000001</v>
      </c>
      <c r="O32" s="300">
        <f t="shared" si="18"/>
        <v>-1879.1879999999999</v>
      </c>
      <c r="P32" s="335">
        <f t="shared" si="4"/>
        <v>-90.197704724466135</v>
      </c>
      <c r="Q32" s="92"/>
    </row>
    <row r="33" spans="1:20" ht="17.25" customHeight="1">
      <c r="A33" s="86" t="s">
        <v>120</v>
      </c>
      <c r="B33" s="41" t="s">
        <v>51</v>
      </c>
      <c r="C33" s="87" t="s">
        <v>58</v>
      </c>
      <c r="D33" s="88">
        <v>1529.22</v>
      </c>
      <c r="E33" s="88">
        <f>D33*$E$51</f>
        <v>50.311710531106066</v>
      </c>
      <c r="F33" s="88"/>
      <c r="G33" s="88">
        <v>1593.44</v>
      </c>
      <c r="H33" s="88">
        <v>1593.44</v>
      </c>
      <c r="I33" s="88">
        <f>E33+H33</f>
        <v>1643.751710531106</v>
      </c>
      <c r="J33" s="88"/>
      <c r="K33" s="89">
        <v>385.64</v>
      </c>
      <c r="L33" s="89">
        <v>1348.63</v>
      </c>
      <c r="M33" s="88">
        <v>1797.83</v>
      </c>
      <c r="N33" s="88"/>
      <c r="O33" s="327">
        <f>N33-M33</f>
        <v>-1797.83</v>
      </c>
      <c r="P33" s="335">
        <f t="shared" si="4"/>
        <v>-100</v>
      </c>
      <c r="Q33" s="92" t="s">
        <v>579</v>
      </c>
    </row>
    <row r="34" spans="1:20" ht="17.25" customHeight="1">
      <c r="A34" s="86" t="s">
        <v>121</v>
      </c>
      <c r="B34" s="41" t="s">
        <v>34</v>
      </c>
      <c r="C34" s="87" t="s">
        <v>58</v>
      </c>
      <c r="D34" s="88">
        <f>SUM(D35:D36)</f>
        <v>0</v>
      </c>
      <c r="E34" s="88">
        <f>SUM(E35:E36)</f>
        <v>0</v>
      </c>
      <c r="F34" s="88"/>
      <c r="G34" s="88">
        <f>SUM(G35:G36)</f>
        <v>38.130000000000003</v>
      </c>
      <c r="H34" s="88">
        <f>SUM(H35:H36)</f>
        <v>37.091555599682366</v>
      </c>
      <c r="I34" s="88">
        <f>SUM(I35:I36)</f>
        <v>37.091555599682366</v>
      </c>
      <c r="J34" s="88">
        <f>SUM(J35:J36)</f>
        <v>0</v>
      </c>
      <c r="K34" s="88">
        <f>SUM(K35:K36)</f>
        <v>27.561999999999998</v>
      </c>
      <c r="L34" s="89">
        <v>5.5679999999999996</v>
      </c>
      <c r="M34" s="88">
        <v>12.12</v>
      </c>
      <c r="N34" s="327">
        <v>0.91800000000000004</v>
      </c>
      <c r="O34" s="327">
        <f t="shared" ref="O34:O39" si="19">N34-M34</f>
        <v>-11.202</v>
      </c>
      <c r="P34" s="335">
        <f t="shared" si="4"/>
        <v>-92.425742574257427</v>
      </c>
      <c r="Q34" s="92" t="s">
        <v>579</v>
      </c>
    </row>
    <row r="35" spans="1:20" ht="17.25" hidden="1" customHeight="1">
      <c r="A35" s="86" t="s">
        <v>220</v>
      </c>
      <c r="B35" s="41" t="s">
        <v>34</v>
      </c>
      <c r="C35" s="87" t="s">
        <v>58</v>
      </c>
      <c r="D35" s="88"/>
      <c r="E35" s="88"/>
      <c r="F35" s="88"/>
      <c r="G35" s="88">
        <v>38.130000000000003</v>
      </c>
      <c r="H35" s="88">
        <f>G35*$H$51</f>
        <v>37.091555599682366</v>
      </c>
      <c r="I35" s="88">
        <f>E35+H35</f>
        <v>37.091555599682366</v>
      </c>
      <c r="J35" s="88"/>
      <c r="K35" s="89">
        <v>4.24</v>
      </c>
      <c r="L35" s="89">
        <v>5.5679999999999996</v>
      </c>
      <c r="M35" s="88">
        <v>20.943999999999999</v>
      </c>
      <c r="N35" s="327"/>
      <c r="O35" s="327">
        <f t="shared" si="19"/>
        <v>-20.943999999999999</v>
      </c>
      <c r="P35" s="335">
        <f t="shared" si="4"/>
        <v>-100</v>
      </c>
      <c r="Q35" s="92" t="s">
        <v>579</v>
      </c>
    </row>
    <row r="36" spans="1:20" ht="31.5" hidden="1">
      <c r="A36" s="86" t="s">
        <v>222</v>
      </c>
      <c r="B36" s="41" t="s">
        <v>317</v>
      </c>
      <c r="C36" s="87" t="s">
        <v>58</v>
      </c>
      <c r="D36" s="88"/>
      <c r="E36" s="88"/>
      <c r="F36" s="88"/>
      <c r="G36" s="88"/>
      <c r="H36" s="88">
        <f>G36*$H$51</f>
        <v>0</v>
      </c>
      <c r="I36" s="88"/>
      <c r="J36" s="88"/>
      <c r="K36" s="89">
        <v>23.321999999999999</v>
      </c>
      <c r="L36" s="89"/>
      <c r="M36" s="88">
        <v>23.321999999999999</v>
      </c>
      <c r="N36" s="327"/>
      <c r="O36" s="327">
        <f t="shared" si="19"/>
        <v>-23.321999999999999</v>
      </c>
      <c r="P36" s="335">
        <f t="shared" si="4"/>
        <v>-100</v>
      </c>
      <c r="Q36" s="92" t="s">
        <v>579</v>
      </c>
    </row>
    <row r="37" spans="1:20" ht="17.25" customHeight="1">
      <c r="A37" s="86" t="s">
        <v>224</v>
      </c>
      <c r="B37" s="41" t="s">
        <v>153</v>
      </c>
      <c r="C37" s="87" t="s">
        <v>58</v>
      </c>
      <c r="D37" s="88"/>
      <c r="E37" s="88"/>
      <c r="F37" s="88"/>
      <c r="G37" s="88">
        <v>504.81</v>
      </c>
      <c r="H37" s="88">
        <f>G37*$H$51</f>
        <v>491.06184585039745</v>
      </c>
      <c r="I37" s="88">
        <f>E37+H37</f>
        <v>491.06184585039745</v>
      </c>
      <c r="J37" s="88"/>
      <c r="K37" s="89">
        <v>107.872</v>
      </c>
      <c r="L37" s="89"/>
      <c r="M37" s="88">
        <v>221.96</v>
      </c>
      <c r="N37" s="327">
        <f>162.212+5.8</f>
        <v>168.012</v>
      </c>
      <c r="O37" s="327">
        <f t="shared" si="19"/>
        <v>-53.948000000000008</v>
      </c>
      <c r="P37" s="335">
        <f t="shared" si="4"/>
        <v>-24.305280230672196</v>
      </c>
      <c r="Q37" s="92" t="s">
        <v>579</v>
      </c>
    </row>
    <row r="38" spans="1:20">
      <c r="A38" s="86" t="s">
        <v>226</v>
      </c>
      <c r="B38" s="41" t="s">
        <v>288</v>
      </c>
      <c r="C38" s="87" t="s">
        <v>58</v>
      </c>
      <c r="D38" s="88"/>
      <c r="E38" s="88"/>
      <c r="F38" s="88"/>
      <c r="G38" s="88">
        <v>18.739999999999998</v>
      </c>
      <c r="H38" s="88">
        <f>G38*$H$51</f>
        <v>18.229628951955089</v>
      </c>
      <c r="I38" s="88">
        <f>E38+H38</f>
        <v>18.229628951955089</v>
      </c>
      <c r="J38" s="88"/>
      <c r="K38" s="89">
        <v>10.808</v>
      </c>
      <c r="L38" s="89"/>
      <c r="M38" s="88">
        <v>21.61</v>
      </c>
      <c r="N38" s="327">
        <v>5.4039999999999999</v>
      </c>
      <c r="O38" s="327">
        <f t="shared" si="19"/>
        <v>-16.206</v>
      </c>
      <c r="P38" s="335">
        <f t="shared" si="4"/>
        <v>-74.993058769088378</v>
      </c>
      <c r="Q38" s="92" t="s">
        <v>579</v>
      </c>
    </row>
    <row r="39" spans="1:20" ht="17.25" customHeight="1">
      <c r="A39" s="86" t="s">
        <v>227</v>
      </c>
      <c r="B39" s="41" t="s">
        <v>152</v>
      </c>
      <c r="C39" s="87" t="s">
        <v>58</v>
      </c>
      <c r="D39" s="88"/>
      <c r="E39" s="88"/>
      <c r="F39" s="88"/>
      <c r="G39" s="88">
        <v>31.23</v>
      </c>
      <c r="H39" s="88">
        <f>G39*$H$51</f>
        <v>30.379472367639138</v>
      </c>
      <c r="I39" s="88">
        <f>E39+H39</f>
        <v>30.379472367639138</v>
      </c>
      <c r="J39" s="88"/>
      <c r="K39" s="89">
        <v>28.111999999999998</v>
      </c>
      <c r="L39" s="89"/>
      <c r="M39" s="88">
        <v>29.89</v>
      </c>
      <c r="N39" s="327">
        <v>29.888000000000002</v>
      </c>
      <c r="O39" s="327">
        <f t="shared" si="19"/>
        <v>-1.9999999999988916E-3</v>
      </c>
      <c r="P39" s="335">
        <f t="shared" si="4"/>
        <v>-6.6912010705806324E-3</v>
      </c>
      <c r="Q39" s="92" t="s">
        <v>579</v>
      </c>
    </row>
    <row r="40" spans="1:20" ht="17.25" customHeight="1">
      <c r="A40" s="95" t="s">
        <v>299</v>
      </c>
      <c r="B40" s="425" t="s">
        <v>318</v>
      </c>
      <c r="C40" s="424" t="s">
        <v>58</v>
      </c>
      <c r="D40" s="82">
        <f t="shared" ref="D40:O40" si="20">SUM(D41:D44)</f>
        <v>166</v>
      </c>
      <c r="E40" s="82">
        <f t="shared" si="20"/>
        <v>5.4614404390235594</v>
      </c>
      <c r="F40" s="82"/>
      <c r="G40" s="82">
        <f t="shared" si="20"/>
        <v>350</v>
      </c>
      <c r="H40" s="82">
        <f t="shared" si="20"/>
        <v>338.35</v>
      </c>
      <c r="I40" s="82">
        <f>SUM(I41:I44)</f>
        <v>343.81144043902361</v>
      </c>
      <c r="J40" s="82">
        <f t="shared" si="20"/>
        <v>0</v>
      </c>
      <c r="K40" s="82">
        <f t="shared" si="20"/>
        <v>284.02299999999997</v>
      </c>
      <c r="L40" s="83">
        <f t="shared" si="20"/>
        <v>13.645</v>
      </c>
      <c r="M40" s="82">
        <f>SUM(M41:M47)</f>
        <v>847.58100000000002</v>
      </c>
      <c r="N40" s="82">
        <f>SUM(N41:N47)</f>
        <v>1065.193</v>
      </c>
      <c r="O40" s="300">
        <f t="shared" si="20"/>
        <v>-626.21600000000001</v>
      </c>
      <c r="P40" s="335">
        <f t="shared" si="4"/>
        <v>25.674478309447707</v>
      </c>
      <c r="Q40" s="92"/>
    </row>
    <row r="41" spans="1:20" ht="15" customHeight="1">
      <c r="A41" s="86" t="s">
        <v>300</v>
      </c>
      <c r="B41" s="41" t="s">
        <v>319</v>
      </c>
      <c r="C41" s="87" t="s">
        <v>58</v>
      </c>
      <c r="D41" s="88">
        <v>1</v>
      </c>
      <c r="E41" s="88">
        <f>D41*$E$51</f>
        <v>3.2900243608575658E-2</v>
      </c>
      <c r="F41" s="88"/>
      <c r="G41" s="88">
        <v>20</v>
      </c>
      <c r="H41" s="88">
        <f>ROUND(G41*$H$51,2)</f>
        <v>19.46</v>
      </c>
      <c r="I41" s="88">
        <f>E41+H41</f>
        <v>19.492900243608577</v>
      </c>
      <c r="J41" s="88"/>
      <c r="K41" s="89">
        <v>71.239999999999995</v>
      </c>
      <c r="L41" s="89"/>
      <c r="M41" s="88">
        <v>138</v>
      </c>
      <c r="N41" s="327">
        <v>1.663</v>
      </c>
      <c r="O41" s="327">
        <f>N41-M41</f>
        <v>-136.33699999999999</v>
      </c>
      <c r="P41" s="335">
        <f t="shared" si="4"/>
        <v>-98.794927536231882</v>
      </c>
      <c r="Q41" s="92" t="s">
        <v>579</v>
      </c>
    </row>
    <row r="42" spans="1:20">
      <c r="A42" s="86" t="s">
        <v>301</v>
      </c>
      <c r="B42" s="41" t="s">
        <v>55</v>
      </c>
      <c r="C42" s="87" t="s">
        <v>58</v>
      </c>
      <c r="D42" s="88"/>
      <c r="E42" s="88">
        <f>D42*$E$51</f>
        <v>0</v>
      </c>
      <c r="F42" s="88"/>
      <c r="G42" s="88">
        <v>60</v>
      </c>
      <c r="H42" s="88">
        <f>ROUND(G42*$H$51,2)</f>
        <v>58.37</v>
      </c>
      <c r="I42" s="88">
        <f>E42+H42</f>
        <v>58.37</v>
      </c>
      <c r="J42" s="88"/>
      <c r="K42" s="89">
        <f>5+35+3.5+3.5+54+12</f>
        <v>113</v>
      </c>
      <c r="L42" s="89">
        <v>3</v>
      </c>
      <c r="M42" s="88">
        <v>370</v>
      </c>
      <c r="N42" s="327">
        <v>49.140999999999998</v>
      </c>
      <c r="O42" s="327">
        <f t="shared" ref="O42:O46" si="21">N42-M42</f>
        <v>-320.85899999999998</v>
      </c>
      <c r="P42" s="335">
        <f t="shared" si="4"/>
        <v>-86.718648648648653</v>
      </c>
      <c r="Q42" s="92" t="s">
        <v>579</v>
      </c>
    </row>
    <row r="43" spans="1:20">
      <c r="A43" s="86" t="s">
        <v>382</v>
      </c>
      <c r="B43" s="41" t="s">
        <v>560</v>
      </c>
      <c r="C43" s="87" t="s">
        <v>58</v>
      </c>
      <c r="D43" s="88">
        <v>165</v>
      </c>
      <c r="E43" s="88">
        <f>D43*$E$51</f>
        <v>5.4285401954149837</v>
      </c>
      <c r="F43" s="88"/>
      <c r="G43" s="88">
        <v>170</v>
      </c>
      <c r="H43" s="88">
        <f>ROUND(G43*$H$51,2)</f>
        <v>165.37</v>
      </c>
      <c r="I43" s="88">
        <f>E43+H43</f>
        <v>170.798540195415</v>
      </c>
      <c r="J43" s="88"/>
      <c r="K43" s="89">
        <f>0.42+99.153</f>
        <v>99.573000000000008</v>
      </c>
      <c r="L43" s="89">
        <v>10.645</v>
      </c>
      <c r="M43" s="88">
        <v>71.239999999999995</v>
      </c>
      <c r="N43" s="327">
        <f>11.02+4.8</f>
        <v>15.82</v>
      </c>
      <c r="O43" s="327">
        <f t="shared" si="21"/>
        <v>-55.419999999999995</v>
      </c>
      <c r="P43" s="335">
        <f t="shared" si="4"/>
        <v>-77.793374508702968</v>
      </c>
      <c r="Q43" s="92" t="s">
        <v>579</v>
      </c>
    </row>
    <row r="44" spans="1:20" ht="31.5">
      <c r="A44" s="86" t="s">
        <v>383</v>
      </c>
      <c r="B44" s="41" t="s">
        <v>433</v>
      </c>
      <c r="C44" s="87" t="s">
        <v>58</v>
      </c>
      <c r="D44" s="64"/>
      <c r="E44" s="64"/>
      <c r="F44" s="64"/>
      <c r="G44" s="88">
        <v>100</v>
      </c>
      <c r="H44" s="88">
        <f>ROUND(G44*$H$51,2)-2.13</f>
        <v>95.15</v>
      </c>
      <c r="I44" s="88">
        <f>E44+H44</f>
        <v>95.15</v>
      </c>
      <c r="J44" s="88"/>
      <c r="K44" s="89">
        <v>0.21</v>
      </c>
      <c r="L44" s="89"/>
      <c r="M44" s="88">
        <v>127.1</v>
      </c>
      <c r="N44" s="327">
        <v>13.5</v>
      </c>
      <c r="O44" s="327">
        <f t="shared" si="21"/>
        <v>-113.6</v>
      </c>
      <c r="P44" s="335">
        <f t="shared" si="4"/>
        <v>-89.378442171518486</v>
      </c>
      <c r="Q44" s="92" t="s">
        <v>579</v>
      </c>
    </row>
    <row r="45" spans="1:20">
      <c r="A45" s="86" t="s">
        <v>384</v>
      </c>
      <c r="B45" s="41" t="s">
        <v>238</v>
      </c>
      <c r="C45" s="87" t="s">
        <v>58</v>
      </c>
      <c r="D45" s="64"/>
      <c r="E45" s="64"/>
      <c r="F45" s="64"/>
      <c r="G45" s="88"/>
      <c r="H45" s="88"/>
      <c r="I45" s="88"/>
      <c r="J45" s="88"/>
      <c r="K45" s="89"/>
      <c r="L45" s="89"/>
      <c r="M45" s="88">
        <v>15</v>
      </c>
      <c r="N45" s="327">
        <v>20</v>
      </c>
      <c r="O45" s="327">
        <f t="shared" si="21"/>
        <v>5</v>
      </c>
      <c r="P45" s="335">
        <f t="shared" si="4"/>
        <v>33.333333333333314</v>
      </c>
      <c r="Q45" s="92" t="s">
        <v>579</v>
      </c>
    </row>
    <row r="46" spans="1:20">
      <c r="A46" s="86" t="s">
        <v>385</v>
      </c>
      <c r="B46" s="41" t="s">
        <v>561</v>
      </c>
      <c r="C46" s="87" t="s">
        <v>58</v>
      </c>
      <c r="D46" s="64"/>
      <c r="E46" s="64"/>
      <c r="F46" s="64"/>
      <c r="G46" s="88"/>
      <c r="H46" s="88"/>
      <c r="I46" s="88"/>
      <c r="J46" s="88"/>
      <c r="K46" s="89"/>
      <c r="L46" s="89"/>
      <c r="M46" s="88">
        <v>126.241</v>
      </c>
      <c r="N46" s="327">
        <v>114.194</v>
      </c>
      <c r="O46" s="327">
        <f t="shared" si="21"/>
        <v>-12.046999999999997</v>
      </c>
      <c r="P46" s="335">
        <f t="shared" si="4"/>
        <v>-9.5428585008040159</v>
      </c>
      <c r="Q46" s="92" t="s">
        <v>579</v>
      </c>
    </row>
    <row r="47" spans="1:20">
      <c r="A47" s="86" t="s">
        <v>540</v>
      </c>
      <c r="B47" s="388" t="s">
        <v>565</v>
      </c>
      <c r="C47" s="87" t="s">
        <v>58</v>
      </c>
      <c r="D47" s="64"/>
      <c r="E47" s="64"/>
      <c r="F47" s="64"/>
      <c r="G47" s="88"/>
      <c r="H47" s="88"/>
      <c r="I47" s="88"/>
      <c r="J47" s="88"/>
      <c r="K47" s="89"/>
      <c r="L47" s="89"/>
      <c r="M47" s="88"/>
      <c r="N47" s="327">
        <v>850.875</v>
      </c>
      <c r="O47" s="684"/>
      <c r="P47" s="335"/>
      <c r="Q47" s="92" t="s">
        <v>579</v>
      </c>
    </row>
    <row r="48" spans="1:20" s="3" customFormat="1" ht="17.25" customHeight="1">
      <c r="A48" s="424" t="s">
        <v>61</v>
      </c>
      <c r="B48" s="425" t="s">
        <v>60</v>
      </c>
      <c r="C48" s="424" t="s">
        <v>58</v>
      </c>
      <c r="D48" s="82" t="e">
        <f>SUM(D27+D5)</f>
        <v>#REF!</v>
      </c>
      <c r="E48" s="82" t="e">
        <f>SUM(E27+E5)</f>
        <v>#REF!</v>
      </c>
      <c r="F48" s="82"/>
      <c r="G48" s="82" t="e">
        <f t="shared" ref="G48:O48" si="22">SUM(G27+G5)</f>
        <v>#REF!</v>
      </c>
      <c r="H48" s="82" t="e">
        <f t="shared" si="22"/>
        <v>#REF!</v>
      </c>
      <c r="I48" s="82" t="e">
        <f t="shared" si="22"/>
        <v>#REF!</v>
      </c>
      <c r="J48" s="82" t="e">
        <f t="shared" si="22"/>
        <v>#REF!</v>
      </c>
      <c r="K48" s="82" t="e">
        <f t="shared" si="22"/>
        <v>#REF!</v>
      </c>
      <c r="L48" s="83" t="e">
        <f t="shared" si="22"/>
        <v>#REF!</v>
      </c>
      <c r="M48" s="82">
        <f t="shared" si="22"/>
        <v>51112.735000000001</v>
      </c>
      <c r="N48" s="82">
        <f t="shared" si="22"/>
        <v>10412.839</v>
      </c>
      <c r="O48" s="300">
        <f t="shared" si="22"/>
        <v>-41543.723999999995</v>
      </c>
      <c r="P48" s="335">
        <f t="shared" si="4"/>
        <v>-79.627701393791583</v>
      </c>
      <c r="Q48" s="92"/>
      <c r="R48" s="1"/>
      <c r="S48" s="1"/>
      <c r="T48" s="1"/>
    </row>
    <row r="49" spans="1:20" ht="17.25" customHeight="1">
      <c r="A49" s="424" t="s">
        <v>63</v>
      </c>
      <c r="B49" s="425" t="s">
        <v>88</v>
      </c>
      <c r="C49" s="424" t="s">
        <v>58</v>
      </c>
      <c r="D49" s="82" t="e">
        <f>+D50-D48</f>
        <v>#REF!</v>
      </c>
      <c r="E49" s="82" t="e">
        <f>+E50-E48</f>
        <v>#REF!</v>
      </c>
      <c r="F49" s="82"/>
      <c r="G49" s="82" t="e">
        <f t="shared" ref="G49:L49" si="23">+G50-G48</f>
        <v>#REF!</v>
      </c>
      <c r="H49" s="82" t="e">
        <f t="shared" si="23"/>
        <v>#REF!</v>
      </c>
      <c r="I49" s="82" t="e">
        <f>+I50-I48</f>
        <v>#REF!</v>
      </c>
      <c r="J49" s="82" t="e">
        <f t="shared" si="23"/>
        <v>#REF!</v>
      </c>
      <c r="K49" s="82" t="e">
        <f t="shared" si="23"/>
        <v>#REF!</v>
      </c>
      <c r="L49" s="83" t="e">
        <f t="shared" si="23"/>
        <v>#REF!</v>
      </c>
      <c r="M49" s="82">
        <f>+M50-M48</f>
        <v>4.9999999973806553E-3</v>
      </c>
      <c r="N49" s="82">
        <f>+N50-N48</f>
        <v>-10412.839</v>
      </c>
      <c r="O49" s="64"/>
      <c r="P49" s="335"/>
      <c r="Q49" s="92"/>
      <c r="R49" s="3"/>
      <c r="S49" s="3"/>
      <c r="T49" s="3"/>
    </row>
    <row r="50" spans="1:20" ht="17.25" customHeight="1">
      <c r="A50" s="424" t="s">
        <v>65</v>
      </c>
      <c r="B50" s="425" t="s">
        <v>62</v>
      </c>
      <c r="C50" s="424" t="s">
        <v>58</v>
      </c>
      <c r="D50" s="82">
        <f>+D55</f>
        <v>14592.04788</v>
      </c>
      <c r="E50" s="82">
        <f>+E55</f>
        <v>480.08193</v>
      </c>
      <c r="F50" s="82"/>
      <c r="G50" s="82">
        <f>G55</f>
        <v>49437.18</v>
      </c>
      <c r="H50" s="82">
        <f>H55</f>
        <v>48134.036799999994</v>
      </c>
      <c r="I50" s="82">
        <f t="shared" ref="I50:N50" si="24">I55</f>
        <v>48614.118729999995</v>
      </c>
      <c r="J50" s="82">
        <f t="shared" si="24"/>
        <v>42453.350719999995</v>
      </c>
      <c r="K50" s="82">
        <f t="shared" si="24"/>
        <v>42933.432649999995</v>
      </c>
      <c r="L50" s="83">
        <f t="shared" si="24"/>
        <v>2527.4529399999997</v>
      </c>
      <c r="M50" s="82">
        <f>M55</f>
        <v>51112.74</v>
      </c>
      <c r="N50" s="82">
        <f t="shared" si="24"/>
        <v>0</v>
      </c>
      <c r="O50" s="64"/>
      <c r="P50" s="335"/>
      <c r="Q50" s="92"/>
    </row>
    <row r="51" spans="1:20" s="103" customFormat="1" ht="12.75" hidden="1" customHeight="1">
      <c r="A51" s="97"/>
      <c r="B51" s="98" t="s">
        <v>320</v>
      </c>
      <c r="C51" s="99"/>
      <c r="D51" s="100"/>
      <c r="E51" s="100">
        <f>E52/D52</f>
        <v>3.2900243608575658E-2</v>
      </c>
      <c r="F51" s="100"/>
      <c r="G51" s="100"/>
      <c r="H51" s="100">
        <f>H52/G52</f>
        <v>0.97276568580336653</v>
      </c>
      <c r="I51" s="100"/>
      <c r="J51" s="100"/>
      <c r="K51" s="101"/>
      <c r="L51" s="100"/>
      <c r="M51" s="82"/>
      <c r="N51" s="82"/>
      <c r="O51" s="685"/>
      <c r="P51" s="336"/>
      <c r="Q51" s="686"/>
      <c r="R51" s="102"/>
      <c r="S51" s="102"/>
      <c r="T51" s="102"/>
    </row>
    <row r="52" spans="1:20">
      <c r="A52" s="885" t="s">
        <v>68</v>
      </c>
      <c r="B52" s="886" t="s">
        <v>64</v>
      </c>
      <c r="C52" s="424" t="s">
        <v>91</v>
      </c>
      <c r="D52" s="82">
        <v>128000.42</v>
      </c>
      <c r="E52" s="83">
        <v>4211.2449999999999</v>
      </c>
      <c r="F52" s="83">
        <f>F56</f>
        <v>4211.2449999999999</v>
      </c>
      <c r="G52" s="82">
        <v>154630.10999999999</v>
      </c>
      <c r="H52" s="83">
        <v>150418.86499999999</v>
      </c>
      <c r="I52" s="82">
        <f>E52+H52</f>
        <v>154630.10999999999</v>
      </c>
      <c r="J52" s="83">
        <f>J57</f>
        <v>132666.72099999999</v>
      </c>
      <c r="K52" s="83">
        <f>J52+F52</f>
        <v>136877.96599999999</v>
      </c>
      <c r="L52" s="83">
        <f>L58</f>
        <v>8153.0739999999996</v>
      </c>
      <c r="M52" s="82">
        <v>150861.66</v>
      </c>
      <c r="N52" s="82"/>
      <c r="O52" s="64"/>
      <c r="P52" s="335"/>
      <c r="Q52" s="586"/>
      <c r="R52" s="4"/>
      <c r="S52" s="4"/>
      <c r="T52" s="4"/>
    </row>
    <row r="53" spans="1:20" ht="12.75" hidden="1" customHeight="1">
      <c r="A53" s="885"/>
      <c r="B53" s="886"/>
      <c r="C53" s="424" t="s">
        <v>92</v>
      </c>
      <c r="D53" s="82"/>
      <c r="E53" s="82"/>
      <c r="F53" s="82"/>
      <c r="G53" s="82">
        <v>0</v>
      </c>
      <c r="H53" s="82"/>
      <c r="I53" s="82"/>
      <c r="J53" s="82"/>
      <c r="K53" s="83">
        <v>9460.9210000000003</v>
      </c>
      <c r="L53" s="82"/>
      <c r="M53" s="83"/>
      <c r="N53" s="83"/>
      <c r="O53" s="64"/>
      <c r="P53" s="335"/>
      <c r="Q53" s="586"/>
      <c r="R53" s="3"/>
      <c r="S53" s="3"/>
      <c r="T53" s="3"/>
    </row>
    <row r="54" spans="1:20" ht="12.75" hidden="1" customHeight="1">
      <c r="A54" s="885"/>
      <c r="B54" s="886"/>
      <c r="C54" s="424" t="s">
        <v>93</v>
      </c>
      <c r="D54" s="82"/>
      <c r="E54" s="82"/>
      <c r="F54" s="82"/>
      <c r="G54" s="82">
        <v>0</v>
      </c>
      <c r="H54" s="82"/>
      <c r="I54" s="82"/>
      <c r="J54" s="82"/>
      <c r="K54" s="83"/>
      <c r="L54" s="82"/>
      <c r="M54" s="83"/>
      <c r="N54" s="83"/>
      <c r="O54" s="64"/>
      <c r="P54" s="335"/>
      <c r="Q54" s="586"/>
    </row>
    <row r="55" spans="1:20" s="4" customFormat="1">
      <c r="A55" s="885"/>
      <c r="B55" s="886"/>
      <c r="C55" s="424" t="s">
        <v>58</v>
      </c>
      <c r="D55" s="82">
        <f>D52*D62</f>
        <v>14592.04788</v>
      </c>
      <c r="E55" s="82">
        <f>E52*E62</f>
        <v>480.08193</v>
      </c>
      <c r="F55" s="82">
        <f>F52*F62</f>
        <v>480.08193</v>
      </c>
      <c r="G55" s="82">
        <v>49437.18</v>
      </c>
      <c r="H55" s="82">
        <f>H52*H62</f>
        <v>48134.036799999994</v>
      </c>
      <c r="I55" s="82">
        <f>E55+H55</f>
        <v>48614.118729999995</v>
      </c>
      <c r="J55" s="82">
        <f>J52*J62</f>
        <v>42453.350719999995</v>
      </c>
      <c r="K55" s="83">
        <f>F55+J55</f>
        <v>42933.432649999995</v>
      </c>
      <c r="L55" s="82">
        <f>L52*L62</f>
        <v>2527.4529399999997</v>
      </c>
      <c r="M55" s="82">
        <v>51112.74</v>
      </c>
      <c r="N55" s="82"/>
      <c r="O55" s="96"/>
      <c r="P55" s="337"/>
      <c r="Q55" s="687"/>
    </row>
    <row r="56" spans="1:20" s="107" customFormat="1" ht="15.75" hidden="1" customHeight="1">
      <c r="A56" s="104"/>
      <c r="B56" s="105" t="s">
        <v>291</v>
      </c>
      <c r="C56" s="106" t="s">
        <v>97</v>
      </c>
      <c r="D56" s="84"/>
      <c r="E56" s="84"/>
      <c r="F56" s="84">
        <v>4211.2449999999999</v>
      </c>
      <c r="G56" s="84"/>
      <c r="H56" s="84"/>
      <c r="I56" s="84"/>
      <c r="J56" s="84"/>
      <c r="K56" s="93"/>
      <c r="L56" s="84"/>
      <c r="M56" s="83"/>
      <c r="N56" s="83">
        <f>F56</f>
        <v>4211.2449999999999</v>
      </c>
      <c r="O56" s="688"/>
      <c r="P56" s="338"/>
      <c r="Q56" s="689"/>
    </row>
    <row r="57" spans="1:20" s="107" customFormat="1" ht="15.75" hidden="1" customHeight="1">
      <c r="A57" s="104"/>
      <c r="B57" s="105" t="s">
        <v>292</v>
      </c>
      <c r="C57" s="106" t="s">
        <v>97</v>
      </c>
      <c r="D57" s="84"/>
      <c r="E57" s="84"/>
      <c r="F57" s="84"/>
      <c r="G57" s="84"/>
      <c r="H57" s="84"/>
      <c r="I57" s="84"/>
      <c r="J57" s="84">
        <v>132666.72099999999</v>
      </c>
      <c r="K57" s="93"/>
      <c r="L57" s="84"/>
      <c r="M57" s="83"/>
      <c r="N57" s="83">
        <f>J57</f>
        <v>132666.72099999999</v>
      </c>
      <c r="O57" s="688"/>
      <c r="P57" s="338"/>
      <c r="Q57" s="689"/>
    </row>
    <row r="58" spans="1:20" s="107" customFormat="1" ht="15.75" hidden="1" customHeight="1">
      <c r="A58" s="104"/>
      <c r="B58" s="105" t="s">
        <v>293</v>
      </c>
      <c r="C58" s="106" t="s">
        <v>97</v>
      </c>
      <c r="D58" s="84"/>
      <c r="E58" s="84"/>
      <c r="F58" s="84"/>
      <c r="G58" s="84"/>
      <c r="H58" s="84"/>
      <c r="I58" s="84"/>
      <c r="J58" s="84"/>
      <c r="K58" s="93"/>
      <c r="L58" s="84">
        <v>8153.0739999999996</v>
      </c>
      <c r="M58" s="83"/>
      <c r="N58" s="83">
        <f>L58</f>
        <v>8153.0739999999996</v>
      </c>
      <c r="O58" s="688"/>
      <c r="P58" s="338"/>
      <c r="Q58" s="689"/>
    </row>
    <row r="59" spans="1:20" s="4" customFormat="1" ht="15.75" hidden="1" customHeight="1">
      <c r="A59" s="424"/>
      <c r="B59" s="425"/>
      <c r="C59" s="424"/>
      <c r="D59" s="82"/>
      <c r="E59" s="82"/>
      <c r="F59" s="82"/>
      <c r="G59" s="82"/>
      <c r="H59" s="82"/>
      <c r="I59" s="82"/>
      <c r="J59" s="82"/>
      <c r="K59" s="83"/>
      <c r="L59" s="82"/>
      <c r="M59" s="83"/>
      <c r="N59" s="83"/>
      <c r="O59" s="96"/>
      <c r="P59" s="337"/>
      <c r="Q59" s="687"/>
    </row>
    <row r="60" spans="1:20" s="3" customFormat="1">
      <c r="A60" s="885" t="s">
        <v>69</v>
      </c>
      <c r="B60" s="886" t="s">
        <v>96</v>
      </c>
      <c r="C60" s="424" t="s">
        <v>67</v>
      </c>
      <c r="D60" s="108">
        <v>0.23</v>
      </c>
      <c r="E60" s="108">
        <v>0.23</v>
      </c>
      <c r="F60" s="108">
        <v>0.23</v>
      </c>
      <c r="G60" s="108">
        <v>0.21</v>
      </c>
      <c r="H60" s="108">
        <v>0.21</v>
      </c>
      <c r="I60" s="108"/>
      <c r="J60" s="108">
        <v>0.21</v>
      </c>
      <c r="K60" s="109" t="s">
        <v>321</v>
      </c>
      <c r="L60" s="108">
        <v>0.21</v>
      </c>
      <c r="M60" s="110" t="s">
        <v>562</v>
      </c>
      <c r="N60" s="363"/>
      <c r="O60" s="550"/>
      <c r="P60" s="339"/>
      <c r="Q60" s="618"/>
    </row>
    <row r="61" spans="1:20">
      <c r="A61" s="885"/>
      <c r="B61" s="886"/>
      <c r="C61" s="424" t="s">
        <v>97</v>
      </c>
      <c r="D61" s="82">
        <v>38233.89</v>
      </c>
      <c r="E61" s="82">
        <f>E52/0.77-E52</f>
        <v>1257.9043506493508</v>
      </c>
      <c r="F61" s="82">
        <f>F52/0.77-F52</f>
        <v>1257.9043506493508</v>
      </c>
      <c r="G61" s="111">
        <f>G52/0.79-G52</f>
        <v>41104.2064556962</v>
      </c>
      <c r="H61" s="111">
        <f>H52/0.79-H52</f>
        <v>39984.761582278472</v>
      </c>
      <c r="I61" s="111"/>
      <c r="J61" s="111">
        <f>J52/0.79-J52</f>
        <v>35265.837227848097</v>
      </c>
      <c r="K61" s="111">
        <f>F61+J61</f>
        <v>36523.741578497444</v>
      </c>
      <c r="L61" s="111">
        <f>L52/0.79-L52</f>
        <v>2167.2728354430374</v>
      </c>
      <c r="M61" s="111">
        <v>44555</v>
      </c>
      <c r="N61" s="82"/>
      <c r="O61" s="64"/>
      <c r="P61" s="335"/>
      <c r="Q61" s="586"/>
    </row>
    <row r="62" spans="1:20" ht="17.25" customHeight="1">
      <c r="A62" s="424" t="s">
        <v>98</v>
      </c>
      <c r="B62" s="425" t="s">
        <v>70</v>
      </c>
      <c r="C62" s="424" t="s">
        <v>99</v>
      </c>
      <c r="D62" s="83">
        <v>0.114</v>
      </c>
      <c r="E62" s="83">
        <v>0.114</v>
      </c>
      <c r="F62" s="83">
        <v>0.114</v>
      </c>
      <c r="G62" s="83">
        <v>0.32</v>
      </c>
      <c r="H62" s="83">
        <v>0.32</v>
      </c>
      <c r="I62" s="83" t="s">
        <v>323</v>
      </c>
      <c r="J62" s="83">
        <v>0.32</v>
      </c>
      <c r="K62" s="83" t="s">
        <v>144</v>
      </c>
      <c r="L62" s="112">
        <v>0.31</v>
      </c>
      <c r="M62" s="299">
        <v>0.33900000000000002</v>
      </c>
      <c r="N62" s="83">
        <v>0.32</v>
      </c>
      <c r="O62" s="64"/>
      <c r="P62" s="335"/>
      <c r="Q62" s="586"/>
    </row>
    <row r="63" spans="1:20">
      <c r="A63" s="424"/>
      <c r="B63" s="425" t="s">
        <v>100</v>
      </c>
      <c r="C63" s="424"/>
      <c r="D63" s="83"/>
      <c r="E63" s="83"/>
      <c r="F63" s="83"/>
      <c r="G63" s="83"/>
      <c r="H63" s="83"/>
      <c r="I63" s="83"/>
      <c r="J63" s="83"/>
      <c r="K63" s="83" t="s">
        <v>322</v>
      </c>
      <c r="L63" s="83"/>
      <c r="M63" s="83"/>
      <c r="N63" s="83"/>
      <c r="O63" s="64"/>
      <c r="P63" s="335"/>
      <c r="Q63" s="586"/>
    </row>
    <row r="64" spans="1:20" ht="17.25" customHeight="1">
      <c r="A64" s="64"/>
      <c r="B64" s="113" t="s">
        <v>324</v>
      </c>
      <c r="C64" s="71" t="s">
        <v>102</v>
      </c>
      <c r="D64" s="114">
        <f>D65</f>
        <v>21</v>
      </c>
      <c r="E64" s="114">
        <f>E65</f>
        <v>21</v>
      </c>
      <c r="F64" s="114"/>
      <c r="G64" s="114">
        <f>G65</f>
        <v>41</v>
      </c>
      <c r="H64" s="114">
        <f>H65</f>
        <v>41</v>
      </c>
      <c r="I64" s="114"/>
      <c r="J64" s="114"/>
      <c r="K64" s="114">
        <v>1258</v>
      </c>
      <c r="L64" s="114"/>
      <c r="M64" s="114">
        <f>M65+M66</f>
        <v>48</v>
      </c>
      <c r="N64" s="114">
        <f>N65+N66</f>
        <v>22</v>
      </c>
      <c r="O64" s="64"/>
      <c r="P64" s="335"/>
      <c r="Q64" s="586"/>
    </row>
    <row r="65" spans="1:17">
      <c r="A65" s="64"/>
      <c r="B65" s="115" t="s">
        <v>103</v>
      </c>
      <c r="C65" s="66" t="s">
        <v>102</v>
      </c>
      <c r="D65" s="116">
        <v>21</v>
      </c>
      <c r="E65" s="116">
        <v>21</v>
      </c>
      <c r="F65" s="116"/>
      <c r="G65" s="116">
        <v>41</v>
      </c>
      <c r="H65" s="116">
        <v>41</v>
      </c>
      <c r="I65" s="116"/>
      <c r="J65" s="116"/>
      <c r="K65" s="116" t="s">
        <v>144</v>
      </c>
      <c r="L65" s="116"/>
      <c r="M65" s="116">
        <v>43</v>
      </c>
      <c r="N65" s="116">
        <v>18</v>
      </c>
      <c r="O65" s="64"/>
      <c r="P65" s="335"/>
      <c r="Q65" s="586"/>
    </row>
    <row r="66" spans="1:17">
      <c r="A66" s="64"/>
      <c r="B66" s="115" t="s">
        <v>122</v>
      </c>
      <c r="C66" s="66" t="s">
        <v>102</v>
      </c>
      <c r="D66" s="116"/>
      <c r="E66" s="116"/>
      <c r="F66" s="116"/>
      <c r="G66" s="116">
        <v>5</v>
      </c>
      <c r="H66" s="116">
        <v>5</v>
      </c>
      <c r="I66" s="116"/>
      <c r="J66" s="116"/>
      <c r="K66" s="116"/>
      <c r="L66" s="116"/>
      <c r="M66" s="116">
        <v>5</v>
      </c>
      <c r="N66" s="116">
        <v>4</v>
      </c>
      <c r="O66" s="64"/>
      <c r="P66" s="335"/>
      <c r="Q66" s="586"/>
    </row>
    <row r="67" spans="1:17" ht="17.25" customHeight="1">
      <c r="A67" s="64"/>
      <c r="B67" s="113" t="s">
        <v>104</v>
      </c>
      <c r="C67" s="71" t="s">
        <v>105</v>
      </c>
      <c r="D67" s="114">
        <f>D68</f>
        <v>0</v>
      </c>
      <c r="E67" s="114"/>
      <c r="F67" s="114"/>
      <c r="G67" s="117">
        <v>37873.4</v>
      </c>
      <c r="H67" s="114"/>
      <c r="I67" s="114"/>
      <c r="J67" s="114"/>
      <c r="K67" s="114"/>
      <c r="L67" s="114"/>
      <c r="M67" s="114">
        <v>60482.85</v>
      </c>
      <c r="N67" s="364">
        <f>AVERAGE(N68:N69)</f>
        <v>84669.815972222219</v>
      </c>
      <c r="O67" s="64"/>
      <c r="P67" s="335"/>
      <c r="Q67" s="586"/>
    </row>
    <row r="68" spans="1:17">
      <c r="A68" s="64"/>
      <c r="B68" s="115" t="s">
        <v>103</v>
      </c>
      <c r="C68" s="66" t="s">
        <v>105</v>
      </c>
      <c r="D68" s="116"/>
      <c r="E68" s="116"/>
      <c r="F68" s="116"/>
      <c r="G68" s="116">
        <v>57148</v>
      </c>
      <c r="H68" s="116"/>
      <c r="I68" s="116"/>
      <c r="J68" s="116"/>
      <c r="K68" s="116"/>
      <c r="L68" s="116"/>
      <c r="M68" s="116">
        <v>57039</v>
      </c>
      <c r="N68" s="365">
        <f>N12/4/N65*1000</f>
        <v>77982.194444444453</v>
      </c>
      <c r="O68" s="64"/>
      <c r="P68" s="335"/>
      <c r="Q68" s="586"/>
    </row>
    <row r="69" spans="1:17">
      <c r="A69" s="64"/>
      <c r="B69" s="115" t="s">
        <v>122</v>
      </c>
      <c r="C69" s="66" t="s">
        <v>105</v>
      </c>
      <c r="D69" s="64"/>
      <c r="E69" s="64"/>
      <c r="F69" s="64"/>
      <c r="G69" s="116">
        <v>80006</v>
      </c>
      <c r="H69" s="64"/>
      <c r="I69" s="64"/>
      <c r="J69" s="64"/>
      <c r="K69" s="64"/>
      <c r="L69" s="64"/>
      <c r="M69" s="335">
        <v>90100</v>
      </c>
      <c r="N69" s="365">
        <f>N29/4/N66*1000</f>
        <v>91357.4375</v>
      </c>
      <c r="O69" s="64"/>
      <c r="P69" s="335"/>
      <c r="Q69" s="586"/>
    </row>
    <row r="70" spans="1:17" ht="110.25" hidden="1">
      <c r="A70" s="422" t="s">
        <v>180</v>
      </c>
      <c r="B70" s="422" t="s">
        <v>181</v>
      </c>
      <c r="C70" s="422" t="s">
        <v>183</v>
      </c>
      <c r="D70" s="424" t="s">
        <v>141</v>
      </c>
      <c r="E70" s="422" t="s">
        <v>268</v>
      </c>
      <c r="F70" s="118"/>
      <c r="G70" s="422" t="s">
        <v>185</v>
      </c>
      <c r="H70" s="422" t="s">
        <v>188</v>
      </c>
      <c r="I70" s="65"/>
      <c r="J70" s="65"/>
      <c r="K70" s="65"/>
      <c r="L70" s="65"/>
      <c r="M70" s="65"/>
      <c r="N70" s="120"/>
      <c r="O70" s="74"/>
      <c r="Q70" s="307"/>
    </row>
    <row r="71" spans="1:17" hidden="1">
      <c r="A71" s="66">
        <v>1</v>
      </c>
      <c r="B71" s="67" t="s">
        <v>142</v>
      </c>
      <c r="C71" s="68">
        <v>4211.2449999999999</v>
      </c>
      <c r="D71" s="69">
        <v>0.114</v>
      </c>
      <c r="E71" s="119"/>
      <c r="F71" s="118"/>
      <c r="G71" s="68">
        <f>ROUND(C71*D71,3)</f>
        <v>480.08199999999999</v>
      </c>
      <c r="H71" s="68"/>
      <c r="I71" s="65"/>
      <c r="J71" s="65"/>
      <c r="K71" s="65"/>
      <c r="L71" s="65"/>
      <c r="M71" s="65"/>
      <c r="N71" s="120"/>
      <c r="O71" s="74"/>
      <c r="Q71" s="307"/>
    </row>
    <row r="72" spans="1:17" hidden="1">
      <c r="A72" s="66">
        <v>2</v>
      </c>
      <c r="B72" s="67" t="s">
        <v>292</v>
      </c>
      <c r="C72" s="68">
        <f>28065.123+62701.171+41900.427</f>
        <v>132666.72099999999</v>
      </c>
      <c r="D72" s="69">
        <v>0.32</v>
      </c>
      <c r="E72" s="119"/>
      <c r="F72" s="118"/>
      <c r="G72" s="68">
        <f>ROUND(C72*D72,3)</f>
        <v>42453.351000000002</v>
      </c>
      <c r="H72" s="68"/>
      <c r="I72" s="65"/>
      <c r="J72" s="65"/>
      <c r="K72" s="65"/>
      <c r="L72" s="65"/>
      <c r="M72" s="65"/>
      <c r="N72" s="120"/>
      <c r="O72" s="74"/>
      <c r="Q72" s="307"/>
    </row>
    <row r="73" spans="1:17" ht="31.5" hidden="1">
      <c r="A73" s="66">
        <v>3</v>
      </c>
      <c r="B73" s="67" t="s">
        <v>302</v>
      </c>
      <c r="C73" s="68">
        <v>8153.0739999999996</v>
      </c>
      <c r="D73" s="69">
        <v>0.31</v>
      </c>
      <c r="E73" s="68">
        <f>D72-D73</f>
        <v>1.0000000000000009E-2</v>
      </c>
      <c r="F73" s="118"/>
      <c r="G73" s="68">
        <f>ROUND(C73*D73,3)</f>
        <v>2527.453</v>
      </c>
      <c r="H73" s="68">
        <f>ROUND(E73*C73,3)</f>
        <v>81.531000000000006</v>
      </c>
      <c r="I73" s="65"/>
      <c r="J73" s="65"/>
      <c r="K73" s="65"/>
      <c r="L73" s="65"/>
      <c r="M73" s="65"/>
      <c r="N73" s="120"/>
      <c r="O73" s="74"/>
      <c r="Q73" s="307"/>
    </row>
    <row r="74" spans="1:17" hidden="1">
      <c r="A74" s="96"/>
      <c r="B74" s="422" t="s">
        <v>303</v>
      </c>
      <c r="C74" s="72">
        <f>SUM(C71:C73)</f>
        <v>145031.03999999998</v>
      </c>
      <c r="D74" s="73"/>
      <c r="E74" s="72"/>
      <c r="F74" s="118"/>
      <c r="G74" s="72">
        <f>SUM(G71:G73)</f>
        <v>45460.886000000006</v>
      </c>
      <c r="H74" s="72">
        <f>SUM(H71:H73)</f>
        <v>81.531000000000006</v>
      </c>
      <c r="I74" s="65"/>
      <c r="J74" s="65"/>
      <c r="K74" s="65"/>
      <c r="L74" s="65"/>
      <c r="M74" s="65"/>
      <c r="N74" s="120"/>
      <c r="O74" s="74"/>
      <c r="Q74" s="307"/>
    </row>
    <row r="75" spans="1:17">
      <c r="A75" s="74"/>
      <c r="B75" s="74"/>
      <c r="C75" s="74"/>
      <c r="D75" s="74"/>
      <c r="E75" s="120"/>
      <c r="F75" s="74"/>
      <c r="G75" s="74"/>
      <c r="H75" s="74"/>
      <c r="I75" s="74"/>
      <c r="J75" s="74"/>
      <c r="K75" s="74"/>
      <c r="L75" s="74"/>
      <c r="M75" s="74"/>
      <c r="N75" s="120"/>
      <c r="O75" s="74"/>
      <c r="Q75" s="307"/>
    </row>
    <row r="76" spans="1:17">
      <c r="A76" s="74"/>
      <c r="B76" s="74"/>
      <c r="C76" s="74"/>
      <c r="D76" s="74"/>
      <c r="E76" s="120"/>
      <c r="F76" s="74"/>
      <c r="G76" s="74"/>
      <c r="H76" s="74"/>
      <c r="I76" s="74"/>
      <c r="J76" s="74"/>
      <c r="K76" s="74"/>
      <c r="L76" s="74"/>
      <c r="M76" s="74"/>
      <c r="N76" s="120"/>
      <c r="O76" s="74"/>
      <c r="Q76" s="307"/>
    </row>
    <row r="77" spans="1:17">
      <c r="A77" s="912" t="s">
        <v>520</v>
      </c>
      <c r="B77" s="912"/>
      <c r="C77" s="912"/>
      <c r="D77" s="912"/>
      <c r="E77" s="912"/>
      <c r="F77" s="912"/>
      <c r="G77" s="912"/>
      <c r="H77" s="912"/>
      <c r="I77" s="912"/>
      <c r="J77" s="912"/>
      <c r="K77" s="912"/>
      <c r="L77" s="912"/>
      <c r="M77" s="65"/>
      <c r="N77" s="120"/>
      <c r="O77" s="74"/>
      <c r="P77" s="340" t="s">
        <v>304</v>
      </c>
      <c r="Q77" s="307"/>
    </row>
    <row r="78" spans="1:17">
      <c r="A78" s="678"/>
      <c r="B78" s="919"/>
      <c r="C78" s="919"/>
      <c r="D78" s="679"/>
      <c r="E78" s="679"/>
      <c r="F78" s="679"/>
      <c r="G78" s="161"/>
      <c r="H78" s="161"/>
      <c r="I78" s="161"/>
      <c r="J78" s="161"/>
      <c r="K78" s="161"/>
      <c r="L78" s="161"/>
      <c r="M78" s="65"/>
      <c r="N78" s="120"/>
      <c r="O78" s="74"/>
      <c r="Q78" s="307"/>
    </row>
    <row r="79" spans="1:17">
      <c r="A79" s="862" t="s">
        <v>71</v>
      </c>
      <c r="B79" s="862"/>
      <c r="C79" s="862"/>
      <c r="D79" s="862"/>
      <c r="E79" s="862"/>
      <c r="F79" s="862"/>
      <c r="G79" s="862"/>
      <c r="H79" s="862"/>
      <c r="I79" s="862"/>
      <c r="J79" s="862"/>
      <c r="K79" s="862"/>
      <c r="L79" s="862"/>
      <c r="M79" s="862"/>
      <c r="N79" s="120"/>
      <c r="O79" s="74"/>
      <c r="P79" s="340" t="s">
        <v>595</v>
      </c>
      <c r="Q79" s="307"/>
    </row>
    <row r="80" spans="1:17">
      <c r="A80" s="678"/>
      <c r="B80" s="858"/>
      <c r="C80" s="858"/>
      <c r="D80" s="679"/>
      <c r="E80" s="679"/>
      <c r="F80" s="679"/>
      <c r="G80" s="161"/>
      <c r="H80" s="161"/>
      <c r="I80" s="161"/>
      <c r="J80" s="161"/>
      <c r="K80" s="161"/>
      <c r="L80" s="161"/>
      <c r="M80" s="65"/>
      <c r="N80" s="120"/>
      <c r="O80" s="74"/>
      <c r="Q80" s="307"/>
    </row>
    <row r="81" spans="1:17" s="3" customFormat="1">
      <c r="A81" s="916" t="s">
        <v>577</v>
      </c>
      <c r="B81" s="916"/>
      <c r="C81" s="916"/>
      <c r="D81" s="916"/>
      <c r="E81" s="916"/>
      <c r="F81" s="916"/>
      <c r="G81" s="916"/>
      <c r="H81" s="916"/>
      <c r="I81" s="916"/>
      <c r="J81" s="916"/>
      <c r="K81" s="916"/>
      <c r="L81" s="916"/>
      <c r="M81" s="76"/>
      <c r="N81" s="366"/>
      <c r="O81" s="77"/>
      <c r="P81" s="340" t="s">
        <v>169</v>
      </c>
      <c r="Q81" s="308"/>
    </row>
    <row r="82" spans="1:17" s="3" customFormat="1">
      <c r="A82" s="76"/>
      <c r="C82" s="76"/>
      <c r="D82" s="76"/>
      <c r="E82" s="76"/>
      <c r="F82" s="76"/>
      <c r="G82" s="76"/>
      <c r="H82" s="77"/>
      <c r="I82" s="76"/>
      <c r="J82" s="76"/>
      <c r="K82" s="76"/>
      <c r="L82" s="76"/>
      <c r="M82" s="76"/>
      <c r="N82" s="366"/>
      <c r="O82" s="77"/>
      <c r="P82" s="340"/>
      <c r="Q82" s="308"/>
    </row>
    <row r="83" spans="1:17" s="3" customFormat="1">
      <c r="A83" s="76" t="s">
        <v>589</v>
      </c>
      <c r="C83" s="76"/>
      <c r="D83" s="76"/>
      <c r="E83" s="76"/>
      <c r="F83" s="76"/>
      <c r="G83" s="76"/>
      <c r="H83" s="77"/>
      <c r="I83" s="76"/>
      <c r="J83" s="76"/>
      <c r="K83" s="76"/>
      <c r="L83" s="76"/>
      <c r="M83" s="76"/>
      <c r="N83" s="366"/>
      <c r="O83" s="77"/>
      <c r="P83" s="340" t="s">
        <v>590</v>
      </c>
      <c r="Q83" s="308"/>
    </row>
    <row r="84" spans="1:17" s="3" customFormat="1">
      <c r="A84" s="76"/>
      <c r="B84" s="76"/>
      <c r="C84" s="76"/>
      <c r="D84" s="76"/>
      <c r="E84" s="76"/>
      <c r="F84" s="76"/>
      <c r="G84" s="76"/>
      <c r="H84" s="77"/>
      <c r="I84" s="76"/>
      <c r="J84" s="76"/>
      <c r="K84" s="76"/>
      <c r="L84" s="76"/>
      <c r="M84" s="76"/>
      <c r="N84" s="366"/>
      <c r="O84" s="77"/>
      <c r="P84" s="340"/>
      <c r="Q84" s="308"/>
    </row>
    <row r="85" spans="1:17" s="3" customFormat="1">
      <c r="A85" s="76" t="s">
        <v>108</v>
      </c>
      <c r="B85" s="76" t="s">
        <v>505</v>
      </c>
      <c r="C85" s="76"/>
      <c r="D85" s="76"/>
      <c r="E85" s="76"/>
      <c r="F85" s="76"/>
      <c r="G85" s="76"/>
      <c r="H85" s="77"/>
      <c r="I85" s="76"/>
      <c r="J85" s="76"/>
      <c r="K85" s="76"/>
      <c r="L85" s="76"/>
      <c r="M85" s="76"/>
      <c r="N85" s="366"/>
      <c r="O85" s="77"/>
      <c r="P85" s="340"/>
      <c r="Q85" s="308"/>
    </row>
    <row r="86" spans="1:17">
      <c r="A86" s="65"/>
      <c r="B86" s="76" t="s">
        <v>109</v>
      </c>
      <c r="C86" s="65"/>
      <c r="D86" s="65"/>
      <c r="E86" s="65"/>
      <c r="F86" s="65"/>
      <c r="G86" s="65"/>
      <c r="H86" s="74"/>
      <c r="I86" s="65"/>
      <c r="J86" s="65"/>
      <c r="K86" s="65"/>
      <c r="L86" s="65"/>
      <c r="M86" s="65"/>
      <c r="N86" s="120"/>
      <c r="O86" s="74"/>
      <c r="Q86" s="307"/>
    </row>
    <row r="87" spans="1:17">
      <c r="A87" s="74"/>
      <c r="B87" s="76" t="s">
        <v>592</v>
      </c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120"/>
      <c r="O87" s="74"/>
      <c r="Q87" s="307"/>
    </row>
    <row r="88" spans="1:17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120"/>
      <c r="O88" s="74"/>
      <c r="Q88" s="307"/>
    </row>
  </sheetData>
  <mergeCells count="19">
    <mergeCell ref="A77:L77"/>
    <mergeCell ref="B78:C78"/>
    <mergeCell ref="A81:L81"/>
    <mergeCell ref="A52:A55"/>
    <mergeCell ref="B52:B55"/>
    <mergeCell ref="A60:A61"/>
    <mergeCell ref="B60:B61"/>
    <mergeCell ref="A1:Q1"/>
    <mergeCell ref="Q3:Q4"/>
    <mergeCell ref="G3:H3"/>
    <mergeCell ref="I3:I4"/>
    <mergeCell ref="A3:A4"/>
    <mergeCell ref="B3:B4"/>
    <mergeCell ref="C3:C4"/>
    <mergeCell ref="D3:F3"/>
    <mergeCell ref="P3:P4"/>
    <mergeCell ref="M3:M4"/>
    <mergeCell ref="N3:N4"/>
    <mergeCell ref="O3:O4"/>
  </mergeCells>
  <pageMargins left="0.78740157480314965" right="0.23622047244094491" top="0.70866141732283472" bottom="0.51181102362204722" header="0.23622047244094491" footer="0.19685039370078741"/>
  <pageSetup paperSize="9" scale="50" fitToWidth="2" fitToHeight="2" orientation="portrait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L95"/>
  <sheetViews>
    <sheetView view="pageBreakPreview" topLeftCell="A81" zoomScale="80" zoomScaleSheetLayoutView="80" workbookViewId="0">
      <selection activeCell="G90" sqref="G90"/>
    </sheetView>
  </sheetViews>
  <sheetFormatPr defaultColWidth="9.140625" defaultRowHeight="15.75"/>
  <cols>
    <col min="1" max="1" width="7.28515625" style="123" customWidth="1"/>
    <col min="2" max="2" width="44.140625" style="123" customWidth="1"/>
    <col min="3" max="3" width="12.85546875" style="123" customWidth="1"/>
    <col min="4" max="5" width="16.42578125" style="123" hidden="1" customWidth="1"/>
    <col min="6" max="6" width="19.42578125" style="123" customWidth="1"/>
    <col min="7" max="7" width="16.42578125" style="398" customWidth="1"/>
    <col min="8" max="8" width="12.140625" style="123" customWidth="1"/>
    <col min="9" max="9" width="9.140625" style="341" customWidth="1"/>
    <col min="10" max="10" width="38.140625" style="311" customWidth="1"/>
    <col min="11" max="11" width="9.140625" style="121"/>
    <col min="12" max="12" width="10.85546875" style="121" bestFit="1" customWidth="1"/>
    <col min="13" max="16384" width="9.140625" style="121"/>
  </cols>
  <sheetData>
    <row r="1" spans="1:11" ht="66.75" customHeight="1">
      <c r="A1" s="913" t="s">
        <v>585</v>
      </c>
      <c r="B1" s="913"/>
      <c r="C1" s="913"/>
      <c r="D1" s="913"/>
      <c r="E1" s="913"/>
      <c r="F1" s="913"/>
      <c r="G1" s="913"/>
      <c r="H1" s="913"/>
      <c r="I1" s="913"/>
      <c r="J1" s="913"/>
    </row>
    <row r="2" spans="1:11">
      <c r="A2" s="122"/>
      <c r="B2" s="122"/>
      <c r="C2" s="122"/>
      <c r="D2" s="122"/>
      <c r="E2" s="122"/>
      <c r="F2" s="122"/>
      <c r="G2" s="389"/>
      <c r="I2" s="690"/>
      <c r="J2" s="123"/>
    </row>
    <row r="3" spans="1:11" ht="23.25" customHeight="1">
      <c r="A3" s="887" t="s">
        <v>0</v>
      </c>
      <c r="B3" s="887" t="s">
        <v>325</v>
      </c>
      <c r="C3" s="887" t="s">
        <v>326</v>
      </c>
      <c r="D3" s="81" t="s">
        <v>327</v>
      </c>
      <c r="E3" s="81" t="s">
        <v>328</v>
      </c>
      <c r="F3" s="933" t="s">
        <v>507</v>
      </c>
      <c r="G3" s="880" t="s">
        <v>568</v>
      </c>
      <c r="H3" s="899" t="s">
        <v>506</v>
      </c>
      <c r="I3" s="900"/>
      <c r="J3" s="691" t="s">
        <v>503</v>
      </c>
    </row>
    <row r="4" spans="1:11" ht="57" customHeight="1">
      <c r="A4" s="888"/>
      <c r="B4" s="888"/>
      <c r="C4" s="888"/>
      <c r="D4" s="81"/>
      <c r="E4" s="81"/>
      <c r="F4" s="934"/>
      <c r="G4" s="880"/>
      <c r="H4" s="419" t="s">
        <v>58</v>
      </c>
      <c r="I4" s="342" t="s">
        <v>67</v>
      </c>
      <c r="J4" s="224"/>
    </row>
    <row r="5" spans="1:11" ht="36.75" customHeight="1">
      <c r="A5" s="427" t="s">
        <v>59</v>
      </c>
      <c r="B5" s="124" t="s">
        <v>123</v>
      </c>
      <c r="C5" s="125" t="s">
        <v>6</v>
      </c>
      <c r="D5" s="135">
        <f>D6+D12+D16+D17+D19</f>
        <v>44383.089999999989</v>
      </c>
      <c r="E5" s="135">
        <f>E6+E12+E16+E17+E19</f>
        <v>34673.339712770852</v>
      </c>
      <c r="F5" s="135">
        <f>F6+F12+F16+F17+F19</f>
        <v>33062.196000000004</v>
      </c>
      <c r="G5" s="390">
        <f>G6+G12+G16+G17+G19</f>
        <v>6360.8440000000001</v>
      </c>
      <c r="H5" s="135">
        <f t="shared" ref="H5" si="0">H6+H12+H16+H17+H19</f>
        <v>-26701.352000000003</v>
      </c>
      <c r="I5" s="692">
        <f t="shared" ref="I5:I6" si="1">G5/F5*100-100</f>
        <v>-80.760975465755507</v>
      </c>
      <c r="J5" s="224"/>
    </row>
    <row r="6" spans="1:11" ht="16.5" customHeight="1">
      <c r="A6" s="427">
        <v>1</v>
      </c>
      <c r="B6" s="127" t="s">
        <v>158</v>
      </c>
      <c r="C6" s="125" t="s">
        <v>6</v>
      </c>
      <c r="D6" s="135">
        <f>SUM(D7:D11)</f>
        <v>2090.19</v>
      </c>
      <c r="E6" s="135">
        <f>SUM(E7:E11)</f>
        <v>1632.8752536052916</v>
      </c>
      <c r="F6" s="135">
        <f>SUM(F7:F11)</f>
        <v>1836.0369999999998</v>
      </c>
      <c r="G6" s="391">
        <f>SUM(G7:G11)</f>
        <v>106.693</v>
      </c>
      <c r="H6" s="135">
        <f t="shared" ref="H6" si="2">SUM(H7:H11)</f>
        <v>-1729.3440000000001</v>
      </c>
      <c r="I6" s="692">
        <f t="shared" si="1"/>
        <v>-94.188951529843891</v>
      </c>
      <c r="J6" s="224"/>
    </row>
    <row r="7" spans="1:11" ht="17.25" customHeight="1">
      <c r="A7" s="128" t="s">
        <v>9</v>
      </c>
      <c r="B7" s="129" t="s">
        <v>329</v>
      </c>
      <c r="C7" s="130" t="s">
        <v>124</v>
      </c>
      <c r="D7" s="131">
        <v>402.97</v>
      </c>
      <c r="E7" s="131">
        <f>D7*$E$66-0.043</f>
        <v>314.76908342558545</v>
      </c>
      <c r="F7" s="330">
        <v>12.742000000000001</v>
      </c>
      <c r="G7" s="392"/>
      <c r="H7" s="330">
        <f>G7-F7</f>
        <v>-12.742000000000001</v>
      </c>
      <c r="I7" s="692">
        <f>G7/F7*100-100</f>
        <v>-100</v>
      </c>
      <c r="J7" s="224" t="s">
        <v>579</v>
      </c>
    </row>
    <row r="8" spans="1:11" ht="15.75" customHeight="1">
      <c r="A8" s="128" t="s">
        <v>11</v>
      </c>
      <c r="B8" s="328" t="s">
        <v>125</v>
      </c>
      <c r="C8" s="130" t="s">
        <v>124</v>
      </c>
      <c r="D8" s="329">
        <v>944.56</v>
      </c>
      <c r="E8" s="329">
        <f t="shared" ref="E8:E24" si="3">D8*$E$66</f>
        <v>737.91821108387956</v>
      </c>
      <c r="F8" s="330">
        <v>577.4</v>
      </c>
      <c r="G8" s="392"/>
      <c r="H8" s="330">
        <f>G8-F8</f>
        <v>-577.4</v>
      </c>
      <c r="I8" s="692">
        <f t="shared" ref="I8:I40" si="4">G8/F8*100-100</f>
        <v>-100</v>
      </c>
      <c r="J8" s="224" t="s">
        <v>579</v>
      </c>
    </row>
    <row r="9" spans="1:11" ht="17.25" hidden="1" customHeight="1">
      <c r="A9" s="128" t="s">
        <v>13</v>
      </c>
      <c r="B9" s="133" t="s">
        <v>330</v>
      </c>
      <c r="C9" s="130" t="s">
        <v>124</v>
      </c>
      <c r="D9" s="131">
        <v>153</v>
      </c>
      <c r="E9" s="131">
        <f t="shared" si="3"/>
        <v>119.52812557787074</v>
      </c>
      <c r="F9" s="330">
        <v>0</v>
      </c>
      <c r="G9" s="392"/>
      <c r="H9" s="330">
        <f t="shared" ref="H9:H11" si="5">G9-F9</f>
        <v>0</v>
      </c>
      <c r="I9" s="692" t="e">
        <f t="shared" si="4"/>
        <v>#DIV/0!</v>
      </c>
      <c r="J9" s="224" t="s">
        <v>579</v>
      </c>
    </row>
    <row r="10" spans="1:11" ht="15.75" customHeight="1">
      <c r="A10" s="128" t="s">
        <v>13</v>
      </c>
      <c r="B10" s="134" t="s">
        <v>331</v>
      </c>
      <c r="C10" s="130" t="s">
        <v>124</v>
      </c>
      <c r="D10" s="131">
        <v>199.95</v>
      </c>
      <c r="E10" s="131">
        <f t="shared" si="3"/>
        <v>156.20685430911931</v>
      </c>
      <c r="F10" s="330">
        <v>246.17</v>
      </c>
      <c r="G10" s="392">
        <v>106.693</v>
      </c>
      <c r="H10" s="330">
        <f t="shared" si="5"/>
        <v>-139.47699999999998</v>
      </c>
      <c r="I10" s="692">
        <f t="shared" si="4"/>
        <v>-56.658813015395864</v>
      </c>
      <c r="J10" s="224" t="s">
        <v>579</v>
      </c>
    </row>
    <row r="11" spans="1:11" ht="17.25" customHeight="1">
      <c r="A11" s="128" t="s">
        <v>14</v>
      </c>
      <c r="B11" s="134" t="s">
        <v>199</v>
      </c>
      <c r="C11" s="130" t="s">
        <v>124</v>
      </c>
      <c r="D11" s="131">
        <v>389.71</v>
      </c>
      <c r="E11" s="131">
        <f t="shared" si="3"/>
        <v>304.45297920883661</v>
      </c>
      <c r="F11" s="330">
        <v>999.72500000000002</v>
      </c>
      <c r="G11" s="392"/>
      <c r="H11" s="330">
        <f t="shared" si="5"/>
        <v>-999.72500000000002</v>
      </c>
      <c r="I11" s="692">
        <f t="shared" si="4"/>
        <v>-100</v>
      </c>
      <c r="J11" s="224" t="s">
        <v>579</v>
      </c>
    </row>
    <row r="12" spans="1:11" ht="16.5" customHeight="1">
      <c r="A12" s="427">
        <v>2</v>
      </c>
      <c r="B12" s="124" t="s">
        <v>126</v>
      </c>
      <c r="C12" s="125" t="s">
        <v>6</v>
      </c>
      <c r="D12" s="135">
        <f>SUM(D13:D15)</f>
        <v>28657.519999999997</v>
      </c>
      <c r="E12" s="135">
        <f>SUM(E13:E15)</f>
        <v>22388.102283074135</v>
      </c>
      <c r="F12" s="135">
        <f>SUM(F13:F15)</f>
        <v>23910.367000000002</v>
      </c>
      <c r="G12" s="391">
        <f t="shared" ref="G12:H12" si="6">SUM(G13:G15)</f>
        <v>4304.6279999999997</v>
      </c>
      <c r="H12" s="135">
        <f t="shared" si="6"/>
        <v>-19605.739000000001</v>
      </c>
      <c r="I12" s="692">
        <f t="shared" si="4"/>
        <v>-81.996813348787157</v>
      </c>
      <c r="J12" s="224"/>
      <c r="K12" s="136"/>
    </row>
    <row r="13" spans="1:11" ht="32.25" customHeight="1">
      <c r="A13" s="331" t="s">
        <v>19</v>
      </c>
      <c r="B13" s="129" t="s">
        <v>332</v>
      </c>
      <c r="C13" s="130" t="s">
        <v>6</v>
      </c>
      <c r="D13" s="131">
        <v>26076</v>
      </c>
      <c r="E13" s="131">
        <f t="shared" si="3"/>
        <v>20371.342500448089</v>
      </c>
      <c r="F13" s="330">
        <v>21747.827000000001</v>
      </c>
      <c r="G13" s="392">
        <v>3902.3870000000002</v>
      </c>
      <c r="H13" s="330">
        <f>G13-F13</f>
        <v>-17845.440000000002</v>
      </c>
      <c r="I13" s="692">
        <f t="shared" si="4"/>
        <v>-82.05619807440992</v>
      </c>
      <c r="J13" s="224" t="s">
        <v>579</v>
      </c>
    </row>
    <row r="14" spans="1:11" ht="17.25" customHeight="1">
      <c r="A14" s="128" t="s">
        <v>21</v>
      </c>
      <c r="B14" s="129" t="s">
        <v>127</v>
      </c>
      <c r="C14" s="130" t="s">
        <v>124</v>
      </c>
      <c r="D14" s="131">
        <v>1408.1</v>
      </c>
      <c r="E14" s="131">
        <f t="shared" si="3"/>
        <v>1100.0493701058808</v>
      </c>
      <c r="F14" s="330">
        <v>1222.6099999999999</v>
      </c>
      <c r="G14" s="392">
        <v>231.08099999999999</v>
      </c>
      <c r="H14" s="330">
        <f t="shared" ref="H14:H16" si="7">G14-F14</f>
        <v>-991.52899999999988</v>
      </c>
      <c r="I14" s="692">
        <f t="shared" si="4"/>
        <v>-81.099369381896111</v>
      </c>
      <c r="J14" s="224" t="s">
        <v>579</v>
      </c>
    </row>
    <row r="15" spans="1:11" ht="17.25" customHeight="1">
      <c r="A15" s="128" t="s">
        <v>23</v>
      </c>
      <c r="B15" s="137" t="s">
        <v>128</v>
      </c>
      <c r="C15" s="130" t="s">
        <v>124</v>
      </c>
      <c r="D15" s="131">
        <v>1173.42</v>
      </c>
      <c r="E15" s="131">
        <f t="shared" si="3"/>
        <v>916.71041252016403</v>
      </c>
      <c r="F15" s="330">
        <v>939.93</v>
      </c>
      <c r="G15" s="392">
        <v>171.16</v>
      </c>
      <c r="H15" s="330">
        <f t="shared" si="7"/>
        <v>-768.77</v>
      </c>
      <c r="I15" s="692">
        <f t="shared" si="4"/>
        <v>-81.790133307799522</v>
      </c>
      <c r="J15" s="224" t="s">
        <v>579</v>
      </c>
    </row>
    <row r="16" spans="1:11" ht="17.25" customHeight="1">
      <c r="A16" s="427">
        <v>3</v>
      </c>
      <c r="B16" s="127" t="s">
        <v>80</v>
      </c>
      <c r="C16" s="125" t="s">
        <v>124</v>
      </c>
      <c r="D16" s="135">
        <v>7645.51</v>
      </c>
      <c r="E16" s="135">
        <f t="shared" si="3"/>
        <v>5972.8985580840954</v>
      </c>
      <c r="F16" s="332">
        <v>5848.57</v>
      </c>
      <c r="G16" s="391">
        <v>1949.5229999999999</v>
      </c>
      <c r="H16" s="330">
        <f t="shared" si="7"/>
        <v>-3899.0469999999996</v>
      </c>
      <c r="I16" s="692">
        <f t="shared" si="4"/>
        <v>-66.666672366065541</v>
      </c>
      <c r="J16" s="224" t="s">
        <v>579</v>
      </c>
    </row>
    <row r="17" spans="1:10" ht="17.25" customHeight="1">
      <c r="A17" s="427">
        <v>4</v>
      </c>
      <c r="B17" s="127" t="s">
        <v>283</v>
      </c>
      <c r="C17" s="125" t="s">
        <v>6</v>
      </c>
      <c r="D17" s="135">
        <f>D18</f>
        <v>5289.92</v>
      </c>
      <c r="E17" s="135">
        <f>E18</f>
        <v>4132.6419742280395</v>
      </c>
      <c r="F17" s="332">
        <f>F18</f>
        <v>1200</v>
      </c>
      <c r="G17" s="391">
        <f>G18</f>
        <v>0</v>
      </c>
      <c r="H17" s="135">
        <f t="shared" ref="H17" si="8">H18</f>
        <v>-1200</v>
      </c>
      <c r="I17" s="692">
        <f t="shared" si="4"/>
        <v>-100</v>
      </c>
      <c r="J17" s="224"/>
    </row>
    <row r="18" spans="1:10" ht="32.25" customHeight="1">
      <c r="A18" s="128" t="s">
        <v>26</v>
      </c>
      <c r="B18" s="129" t="s">
        <v>333</v>
      </c>
      <c r="C18" s="130" t="s">
        <v>6</v>
      </c>
      <c r="D18" s="131">
        <v>5289.92</v>
      </c>
      <c r="E18" s="131">
        <f t="shared" si="3"/>
        <v>4132.6419742280395</v>
      </c>
      <c r="F18" s="330">
        <v>1200</v>
      </c>
      <c r="G18" s="392"/>
      <c r="H18" s="330">
        <f>G18-F18</f>
        <v>-1200</v>
      </c>
      <c r="I18" s="692">
        <f t="shared" si="4"/>
        <v>-100</v>
      </c>
      <c r="J18" s="850" t="s">
        <v>579</v>
      </c>
    </row>
    <row r="19" spans="1:10" ht="17.25" customHeight="1">
      <c r="A19" s="138" t="s">
        <v>285</v>
      </c>
      <c r="B19" s="127" t="s">
        <v>129</v>
      </c>
      <c r="C19" s="125" t="s">
        <v>6</v>
      </c>
      <c r="D19" s="135">
        <f>SUM(D20:D25)</f>
        <v>699.95</v>
      </c>
      <c r="E19" s="135">
        <f t="shared" ref="E19:H19" si="9">SUM(E20:E25)</f>
        <v>546.82164377928518</v>
      </c>
      <c r="F19" s="135">
        <f>SUM(F20:F25)</f>
        <v>267.22199999999998</v>
      </c>
      <c r="G19" s="391">
        <f t="shared" si="9"/>
        <v>0</v>
      </c>
      <c r="H19" s="135">
        <f t="shared" si="9"/>
        <v>-267.22199999999998</v>
      </c>
      <c r="I19" s="692">
        <f t="shared" si="4"/>
        <v>-100</v>
      </c>
      <c r="J19" s="224"/>
    </row>
    <row r="20" spans="1:10" ht="16.5" customHeight="1">
      <c r="A20" s="128" t="s">
        <v>29</v>
      </c>
      <c r="B20" s="129" t="s">
        <v>426</v>
      </c>
      <c r="C20" s="130" t="s">
        <v>130</v>
      </c>
      <c r="D20" s="131">
        <v>165.6</v>
      </c>
      <c r="E20" s="131">
        <f t="shared" si="3"/>
        <v>129.3716182725189</v>
      </c>
      <c r="F20" s="330">
        <v>63.328000000000003</v>
      </c>
      <c r="G20" s="392"/>
      <c r="H20" s="330">
        <f>G20-F20</f>
        <v>-63.328000000000003</v>
      </c>
      <c r="I20" s="692">
        <f t="shared" si="4"/>
        <v>-100</v>
      </c>
      <c r="J20" s="224" t="s">
        <v>579</v>
      </c>
    </row>
    <row r="21" spans="1:10" ht="16.5" customHeight="1">
      <c r="A21" s="128" t="s">
        <v>31</v>
      </c>
      <c r="B21" s="129" t="s">
        <v>131</v>
      </c>
      <c r="C21" s="130" t="s">
        <v>130</v>
      </c>
      <c r="D21" s="131">
        <v>30.2</v>
      </c>
      <c r="E21" s="131">
        <f t="shared" si="3"/>
        <v>23.593133283998014</v>
      </c>
      <c r="F21" s="330">
        <v>14.4</v>
      </c>
      <c r="G21" s="392"/>
      <c r="H21" s="330">
        <f t="shared" ref="H21:H24" si="10">G21-F21</f>
        <v>-14.4</v>
      </c>
      <c r="I21" s="692">
        <f t="shared" si="4"/>
        <v>-100</v>
      </c>
      <c r="J21" s="224" t="s">
        <v>579</v>
      </c>
    </row>
    <row r="22" spans="1:10" ht="30.75" hidden="1" customHeight="1">
      <c r="A22" s="128" t="s">
        <v>33</v>
      </c>
      <c r="B22" s="129" t="s">
        <v>334</v>
      </c>
      <c r="C22" s="130" t="s">
        <v>130</v>
      </c>
      <c r="D22" s="131">
        <v>67.400000000000006</v>
      </c>
      <c r="E22" s="131">
        <f t="shared" si="3"/>
        <v>52.654873620578357</v>
      </c>
      <c r="F22" s="330">
        <v>0</v>
      </c>
      <c r="G22" s="392"/>
      <c r="H22" s="330">
        <f t="shared" si="10"/>
        <v>0</v>
      </c>
      <c r="I22" s="692" t="e">
        <f t="shared" si="4"/>
        <v>#DIV/0!</v>
      </c>
      <c r="J22" s="224" t="s">
        <v>579</v>
      </c>
    </row>
    <row r="23" spans="1:10" ht="16.5" customHeight="1">
      <c r="A23" s="128" t="s">
        <v>33</v>
      </c>
      <c r="B23" s="137" t="s">
        <v>287</v>
      </c>
      <c r="C23" s="130" t="s">
        <v>130</v>
      </c>
      <c r="D23" s="131">
        <v>319.55</v>
      </c>
      <c r="E23" s="131">
        <f t="shared" si="3"/>
        <v>249.64191195038299</v>
      </c>
      <c r="F23" s="330">
        <v>8.5329999999999995</v>
      </c>
      <c r="G23" s="392"/>
      <c r="H23" s="330">
        <f t="shared" si="10"/>
        <v>-8.5329999999999995</v>
      </c>
      <c r="I23" s="692">
        <f t="shared" si="4"/>
        <v>-100</v>
      </c>
      <c r="J23" s="224" t="s">
        <v>579</v>
      </c>
    </row>
    <row r="24" spans="1:10" ht="16.5" hidden="1" customHeight="1">
      <c r="A24" s="128" t="s">
        <v>36</v>
      </c>
      <c r="B24" s="137" t="s">
        <v>132</v>
      </c>
      <c r="C24" s="130" t="s">
        <v>130</v>
      </c>
      <c r="D24" s="131">
        <v>117.2</v>
      </c>
      <c r="E24" s="131">
        <f t="shared" si="3"/>
        <v>91.560106651806862</v>
      </c>
      <c r="F24" s="330">
        <v>0</v>
      </c>
      <c r="G24" s="392"/>
      <c r="H24" s="330">
        <f t="shared" si="10"/>
        <v>0</v>
      </c>
      <c r="I24" s="692" t="e">
        <f t="shared" si="4"/>
        <v>#DIV/0!</v>
      </c>
      <c r="J24" s="224"/>
    </row>
    <row r="25" spans="1:10" ht="16.5" customHeight="1">
      <c r="A25" s="138" t="s">
        <v>37</v>
      </c>
      <c r="B25" s="139" t="s">
        <v>147</v>
      </c>
      <c r="C25" s="125" t="s">
        <v>130</v>
      </c>
      <c r="D25" s="135">
        <f>SUM(D26:D27)</f>
        <v>0</v>
      </c>
      <c r="E25" s="135">
        <f>SUM(E26:E27)</f>
        <v>0</v>
      </c>
      <c r="F25" s="135">
        <f>SUM(F26:F27)</f>
        <v>180.96099999999998</v>
      </c>
      <c r="G25" s="391">
        <f>SUM(G26:G27)</f>
        <v>0</v>
      </c>
      <c r="H25" s="135">
        <f t="shared" ref="H25" si="11">SUM(H26:H27)</f>
        <v>-180.96099999999998</v>
      </c>
      <c r="I25" s="692">
        <f t="shared" si="4"/>
        <v>-100</v>
      </c>
      <c r="J25" s="224"/>
    </row>
    <row r="26" spans="1:10" ht="16.5" customHeight="1">
      <c r="A26" s="128" t="s">
        <v>335</v>
      </c>
      <c r="B26" s="137" t="s">
        <v>336</v>
      </c>
      <c r="C26" s="130" t="s">
        <v>130</v>
      </c>
      <c r="D26" s="131"/>
      <c r="E26" s="131"/>
      <c r="F26" s="330">
        <v>170.7</v>
      </c>
      <c r="G26" s="392"/>
      <c r="H26" s="330">
        <f>G26-F26</f>
        <v>-170.7</v>
      </c>
      <c r="I26" s="692">
        <f t="shared" si="4"/>
        <v>-100</v>
      </c>
      <c r="J26" s="224" t="s">
        <v>579</v>
      </c>
    </row>
    <row r="27" spans="1:10" ht="33.6" customHeight="1">
      <c r="A27" s="128" t="s">
        <v>337</v>
      </c>
      <c r="B27" s="41" t="s">
        <v>167</v>
      </c>
      <c r="C27" s="140" t="s">
        <v>130</v>
      </c>
      <c r="D27" s="131"/>
      <c r="E27" s="131"/>
      <c r="F27" s="330">
        <v>10.260999999999999</v>
      </c>
      <c r="G27" s="392"/>
      <c r="H27" s="330">
        <f>G27-F27</f>
        <v>-10.260999999999999</v>
      </c>
      <c r="I27" s="692">
        <f t="shared" si="4"/>
        <v>-100</v>
      </c>
      <c r="J27" s="224" t="s">
        <v>579</v>
      </c>
    </row>
    <row r="28" spans="1:10" ht="30.6" customHeight="1">
      <c r="A28" s="426" t="s">
        <v>82</v>
      </c>
      <c r="B28" s="124" t="s">
        <v>338</v>
      </c>
      <c r="C28" s="125" t="s">
        <v>6</v>
      </c>
      <c r="D28" s="135">
        <f>D29+D33</f>
        <v>8070.49</v>
      </c>
      <c r="E28" s="135">
        <f>E29+E33</f>
        <v>5579.3920583650252</v>
      </c>
      <c r="F28" s="135">
        <f>F29+F33</f>
        <v>7190.5369999999994</v>
      </c>
      <c r="G28" s="391">
        <f>G29+G33</f>
        <v>1942.6770000000001</v>
      </c>
      <c r="H28" s="135">
        <f t="shared" ref="H28" si="12">H29+H33</f>
        <v>-5247.86</v>
      </c>
      <c r="I28" s="692">
        <f t="shared" si="4"/>
        <v>-72.982866230992201</v>
      </c>
      <c r="J28" s="224"/>
    </row>
    <row r="29" spans="1:10" ht="16.5" customHeight="1">
      <c r="A29" s="426">
        <v>6</v>
      </c>
      <c r="B29" s="134" t="s">
        <v>18</v>
      </c>
      <c r="C29" s="130" t="s">
        <v>6</v>
      </c>
      <c r="D29" s="131">
        <f>SUM(D30:D32)</f>
        <v>6594</v>
      </c>
      <c r="E29" s="131">
        <v>4445.6499999999996</v>
      </c>
      <c r="F29" s="131">
        <f>SUM(F30:F32)</f>
        <v>5319.0199999999995</v>
      </c>
      <c r="G29" s="392">
        <f>SUM(G30:G32)</f>
        <v>1740.575</v>
      </c>
      <c r="H29" s="131">
        <f t="shared" ref="H29" si="13">SUM(H30:H32)</f>
        <v>-3578.4449999999997</v>
      </c>
      <c r="I29" s="692">
        <f t="shared" si="4"/>
        <v>-67.276396779857947</v>
      </c>
      <c r="J29" s="224"/>
    </row>
    <row r="30" spans="1:10" ht="16.5" customHeight="1">
      <c r="A30" s="128" t="s">
        <v>44</v>
      </c>
      <c r="B30" s="134" t="s">
        <v>339</v>
      </c>
      <c r="C30" s="130" t="s">
        <v>6</v>
      </c>
      <c r="D30" s="131">
        <v>6000</v>
      </c>
      <c r="E30" s="131">
        <v>4042.3</v>
      </c>
      <c r="F30" s="131">
        <v>4837.0029999999997</v>
      </c>
      <c r="G30" s="392">
        <v>1582.364</v>
      </c>
      <c r="H30" s="330">
        <f>G30-F30</f>
        <v>-3254.6389999999997</v>
      </c>
      <c r="I30" s="692">
        <f t="shared" si="4"/>
        <v>-67.28627209865283</v>
      </c>
      <c r="J30" s="224" t="s">
        <v>579</v>
      </c>
    </row>
    <row r="31" spans="1:10" ht="16.5" customHeight="1">
      <c r="A31" s="128" t="s">
        <v>47</v>
      </c>
      <c r="B31" s="134" t="s">
        <v>127</v>
      </c>
      <c r="C31" s="130" t="s">
        <v>6</v>
      </c>
      <c r="D31" s="131">
        <v>324</v>
      </c>
      <c r="E31" s="131">
        <v>250.69</v>
      </c>
      <c r="F31" s="131">
        <v>293.60300000000001</v>
      </c>
      <c r="G31" s="392">
        <v>86.296999999999997</v>
      </c>
      <c r="H31" s="330">
        <f t="shared" ref="H31:H32" si="14">G31-F31</f>
        <v>-207.30600000000001</v>
      </c>
      <c r="I31" s="692">
        <f t="shared" si="4"/>
        <v>-70.607589159511321</v>
      </c>
      <c r="J31" s="224" t="s">
        <v>579</v>
      </c>
    </row>
    <row r="32" spans="1:10" ht="16.5" customHeight="1">
      <c r="A32" s="128" t="s">
        <v>48</v>
      </c>
      <c r="B32" s="134" t="s">
        <v>340</v>
      </c>
      <c r="C32" s="130" t="s">
        <v>6</v>
      </c>
      <c r="D32" s="131">
        <v>270</v>
      </c>
      <c r="E32" s="131">
        <v>152.65</v>
      </c>
      <c r="F32" s="131">
        <v>188.41399999999999</v>
      </c>
      <c r="G32" s="392">
        <v>71.914000000000001</v>
      </c>
      <c r="H32" s="330">
        <f t="shared" si="14"/>
        <v>-116.49999999999999</v>
      </c>
      <c r="I32" s="692">
        <f t="shared" si="4"/>
        <v>-61.831923317800161</v>
      </c>
      <c r="J32" s="224" t="s">
        <v>579</v>
      </c>
    </row>
    <row r="33" spans="1:10" ht="17.25" customHeight="1">
      <c r="A33" s="427">
        <v>7</v>
      </c>
      <c r="B33" s="141" t="s">
        <v>133</v>
      </c>
      <c r="C33" s="125" t="s">
        <v>124</v>
      </c>
      <c r="D33" s="135">
        <f>SUM(D34:D46)</f>
        <v>1476.49</v>
      </c>
      <c r="E33" s="135">
        <f>SUM(E34:E46)</f>
        <v>1133.7420583650251</v>
      </c>
      <c r="F33" s="135">
        <f>SUM(F34:F46)</f>
        <v>1871.5169999999998</v>
      </c>
      <c r="G33" s="391">
        <f>SUM(G34:G46)+G53</f>
        <v>202.102</v>
      </c>
      <c r="H33" s="135">
        <f t="shared" ref="H33" si="15">SUM(H34:H46)+H53</f>
        <v>-1669.415</v>
      </c>
      <c r="I33" s="692">
        <f t="shared" si="4"/>
        <v>-89.201166754028947</v>
      </c>
      <c r="J33" s="224"/>
    </row>
    <row r="34" spans="1:10" ht="16.5" customHeight="1">
      <c r="A34" s="128" t="s">
        <v>120</v>
      </c>
      <c r="B34" s="142" t="s">
        <v>134</v>
      </c>
      <c r="C34" s="130" t="s">
        <v>124</v>
      </c>
      <c r="D34" s="131">
        <v>159</v>
      </c>
      <c r="E34" s="131">
        <v>87.43</v>
      </c>
      <c r="F34" s="143">
        <v>87.43</v>
      </c>
      <c r="G34" s="392"/>
      <c r="H34" s="330">
        <f>G34-F34</f>
        <v>-87.43</v>
      </c>
      <c r="I34" s="692">
        <f t="shared" si="4"/>
        <v>-100</v>
      </c>
      <c r="J34" s="224" t="s">
        <v>579</v>
      </c>
    </row>
    <row r="35" spans="1:10" ht="17.25" customHeight="1">
      <c r="A35" s="128" t="s">
        <v>121</v>
      </c>
      <c r="B35" s="142" t="s">
        <v>231</v>
      </c>
      <c r="C35" s="130" t="s">
        <v>124</v>
      </c>
      <c r="D35" s="131">
        <v>86.94</v>
      </c>
      <c r="E35" s="131">
        <v>68.42</v>
      </c>
      <c r="F35" s="143">
        <v>86.94</v>
      </c>
      <c r="G35" s="392"/>
      <c r="H35" s="330">
        <f t="shared" ref="H35:H53" si="16">G35-F35</f>
        <v>-86.94</v>
      </c>
      <c r="I35" s="692">
        <f t="shared" si="4"/>
        <v>-100</v>
      </c>
      <c r="J35" s="224" t="s">
        <v>579</v>
      </c>
    </row>
    <row r="36" spans="1:10" ht="17.25" customHeight="1">
      <c r="A36" s="128" t="s">
        <v>220</v>
      </c>
      <c r="B36" s="142" t="s">
        <v>341</v>
      </c>
      <c r="C36" s="130" t="s">
        <v>124</v>
      </c>
      <c r="D36" s="131"/>
      <c r="E36" s="131">
        <v>2.9</v>
      </c>
      <c r="F36" s="143">
        <v>6.0289999999999999</v>
      </c>
      <c r="G36" s="392">
        <v>1.7709999999999999</v>
      </c>
      <c r="H36" s="330">
        <f t="shared" si="16"/>
        <v>-4.258</v>
      </c>
      <c r="I36" s="692">
        <f t="shared" si="4"/>
        <v>-70.625310996848569</v>
      </c>
      <c r="J36" s="224" t="s">
        <v>579</v>
      </c>
    </row>
    <row r="37" spans="1:10" ht="16.5" customHeight="1">
      <c r="A37" s="128" t="s">
        <v>222</v>
      </c>
      <c r="B37" s="41" t="s">
        <v>342</v>
      </c>
      <c r="C37" s="130" t="s">
        <v>124</v>
      </c>
      <c r="D37" s="131"/>
      <c r="E37" s="131">
        <v>13.65</v>
      </c>
      <c r="F37" s="143">
        <v>26.154</v>
      </c>
      <c r="G37" s="392">
        <v>1.7250000000000001</v>
      </c>
      <c r="H37" s="330">
        <f t="shared" si="16"/>
        <v>-24.428999999999998</v>
      </c>
      <c r="I37" s="692">
        <f t="shared" si="4"/>
        <v>-93.404450562055516</v>
      </c>
      <c r="J37" s="224" t="s">
        <v>579</v>
      </c>
    </row>
    <row r="38" spans="1:10" ht="31.5" customHeight="1">
      <c r="A38" s="128" t="s">
        <v>224</v>
      </c>
      <c r="B38" s="41" t="s">
        <v>343</v>
      </c>
      <c r="C38" s="130" t="s">
        <v>124</v>
      </c>
      <c r="D38" s="131"/>
      <c r="E38" s="131"/>
      <c r="F38" s="143">
        <v>1.5569999999999999</v>
      </c>
      <c r="G38" s="392">
        <v>0.28899999999999998</v>
      </c>
      <c r="H38" s="330">
        <f t="shared" si="16"/>
        <v>-1.268</v>
      </c>
      <c r="I38" s="692">
        <f t="shared" si="4"/>
        <v>-81.438664097623644</v>
      </c>
      <c r="J38" s="224" t="s">
        <v>579</v>
      </c>
    </row>
    <row r="39" spans="1:10" ht="17.25" customHeight="1">
      <c r="A39" s="128" t="s">
        <v>226</v>
      </c>
      <c r="B39" s="41" t="s">
        <v>223</v>
      </c>
      <c r="C39" s="130" t="s">
        <v>124</v>
      </c>
      <c r="D39" s="131"/>
      <c r="E39" s="131"/>
      <c r="F39" s="143">
        <v>2.0089999999999999</v>
      </c>
      <c r="G39" s="392">
        <v>0.503</v>
      </c>
      <c r="H39" s="330">
        <f t="shared" si="16"/>
        <v>-1.5059999999999998</v>
      </c>
      <c r="I39" s="692">
        <f t="shared" si="4"/>
        <v>-74.962667994026873</v>
      </c>
      <c r="J39" s="224" t="s">
        <v>579</v>
      </c>
    </row>
    <row r="40" spans="1:10" ht="30.75" customHeight="1">
      <c r="A40" s="128" t="s">
        <v>227</v>
      </c>
      <c r="B40" s="41" t="s">
        <v>221</v>
      </c>
      <c r="C40" s="130" t="s">
        <v>124</v>
      </c>
      <c r="D40" s="131"/>
      <c r="E40" s="131"/>
      <c r="F40" s="143">
        <v>91.679000000000002</v>
      </c>
      <c r="G40" s="392"/>
      <c r="H40" s="330">
        <f t="shared" si="16"/>
        <v>-91.679000000000002</v>
      </c>
      <c r="I40" s="692">
        <f t="shared" si="4"/>
        <v>-100</v>
      </c>
      <c r="J40" s="224" t="s">
        <v>579</v>
      </c>
    </row>
    <row r="41" spans="1:10" ht="17.25" customHeight="1">
      <c r="A41" s="128" t="s">
        <v>228</v>
      </c>
      <c r="B41" s="142" t="s">
        <v>344</v>
      </c>
      <c r="C41" s="130" t="s">
        <v>124</v>
      </c>
      <c r="D41" s="131">
        <v>14</v>
      </c>
      <c r="E41" s="131">
        <f>D41*$E$66</f>
        <v>10.937214105164642</v>
      </c>
      <c r="F41" s="143">
        <v>22.821999999999999</v>
      </c>
      <c r="G41" s="392"/>
      <c r="H41" s="330">
        <f t="shared" si="16"/>
        <v>-22.821999999999999</v>
      </c>
      <c r="I41" s="692">
        <f>G41/F41*100-100</f>
        <v>-100</v>
      </c>
      <c r="J41" s="224" t="s">
        <v>579</v>
      </c>
    </row>
    <row r="42" spans="1:10" ht="17.25" customHeight="1">
      <c r="A42" s="128" t="s">
        <v>230</v>
      </c>
      <c r="B42" s="142" t="s">
        <v>165</v>
      </c>
      <c r="C42" s="130" t="s">
        <v>124</v>
      </c>
      <c r="D42" s="131"/>
      <c r="E42" s="131"/>
      <c r="F42" s="143">
        <v>33.630000000000003</v>
      </c>
      <c r="G42" s="392">
        <v>3.6</v>
      </c>
      <c r="H42" s="330">
        <f t="shared" si="16"/>
        <v>-30.03</v>
      </c>
      <c r="I42" s="692">
        <f t="shared" ref="I42:I54" si="17">G42/F42*100-100</f>
        <v>-89.295272078501341</v>
      </c>
      <c r="J42" s="224" t="s">
        <v>579</v>
      </c>
    </row>
    <row r="43" spans="1:10" ht="16.5" customHeight="1">
      <c r="A43" s="128" t="s">
        <v>232</v>
      </c>
      <c r="B43" s="145" t="s">
        <v>51</v>
      </c>
      <c r="C43" s="130" t="s">
        <v>124</v>
      </c>
      <c r="D43" s="131">
        <v>1216.55</v>
      </c>
      <c r="E43" s="131">
        <f>D43*$E$66</f>
        <v>950.4048442598604</v>
      </c>
      <c r="F43" s="143">
        <v>1008.997</v>
      </c>
      <c r="G43" s="392"/>
      <c r="H43" s="330">
        <f t="shared" si="16"/>
        <v>-1008.997</v>
      </c>
      <c r="I43" s="692">
        <f t="shared" si="17"/>
        <v>-100</v>
      </c>
      <c r="J43" s="224" t="s">
        <v>579</v>
      </c>
    </row>
    <row r="44" spans="1:10" ht="28.5" customHeight="1">
      <c r="A44" s="128" t="s">
        <v>233</v>
      </c>
      <c r="B44" s="134" t="s">
        <v>208</v>
      </c>
      <c r="C44" s="130" t="s">
        <v>124</v>
      </c>
      <c r="D44" s="131"/>
      <c r="E44" s="131"/>
      <c r="F44" s="143">
        <v>347.86499999999995</v>
      </c>
      <c r="G44" s="392">
        <f>55.725+4.264+105+11.718</f>
        <v>176.70699999999999</v>
      </c>
      <c r="H44" s="330">
        <f t="shared" si="16"/>
        <v>-171.15799999999996</v>
      </c>
      <c r="I44" s="692">
        <f t="shared" si="17"/>
        <v>-49.202420479208882</v>
      </c>
      <c r="J44" s="224" t="s">
        <v>579</v>
      </c>
    </row>
    <row r="45" spans="1:10" ht="28.5" customHeight="1">
      <c r="A45" s="128" t="s">
        <v>235</v>
      </c>
      <c r="B45" s="137" t="s">
        <v>154</v>
      </c>
      <c r="C45" s="130" t="s">
        <v>124</v>
      </c>
      <c r="D45" s="131"/>
      <c r="E45" s="131"/>
      <c r="F45" s="143">
        <v>124.624</v>
      </c>
      <c r="G45" s="392">
        <v>17.503</v>
      </c>
      <c r="H45" s="330">
        <f t="shared" si="16"/>
        <v>-107.121</v>
      </c>
      <c r="I45" s="692">
        <f t="shared" si="17"/>
        <v>-85.955353703941455</v>
      </c>
      <c r="J45" s="224" t="s">
        <v>579</v>
      </c>
    </row>
    <row r="46" spans="1:10" ht="28.5" customHeight="1">
      <c r="A46" s="128" t="s">
        <v>237</v>
      </c>
      <c r="B46" s="137" t="s">
        <v>147</v>
      </c>
      <c r="C46" s="130" t="s">
        <v>124</v>
      </c>
      <c r="D46" s="132">
        <f>SUM(D47:D51)</f>
        <v>0</v>
      </c>
      <c r="E46" s="132">
        <f>SUM(E47:E51)</f>
        <v>0</v>
      </c>
      <c r="F46" s="131">
        <f>SUM(F47:F52)</f>
        <v>31.780999999999999</v>
      </c>
      <c r="G46" s="392">
        <f>SUM(G47:G52)</f>
        <v>4.0000000000000001E-3</v>
      </c>
      <c r="H46" s="330">
        <f t="shared" si="16"/>
        <v>-31.776999999999997</v>
      </c>
      <c r="I46" s="692">
        <f t="shared" si="17"/>
        <v>-99.987413863629214</v>
      </c>
      <c r="J46" s="224" t="s">
        <v>579</v>
      </c>
    </row>
    <row r="47" spans="1:10" ht="15.75" customHeight="1">
      <c r="A47" s="128" t="s">
        <v>345</v>
      </c>
      <c r="B47" s="41" t="s">
        <v>146</v>
      </c>
      <c r="C47" s="130" t="s">
        <v>124</v>
      </c>
      <c r="D47" s="131"/>
      <c r="E47" s="131"/>
      <c r="F47" s="131">
        <v>6.85</v>
      </c>
      <c r="G47" s="392"/>
      <c r="H47" s="330">
        <f t="shared" si="16"/>
        <v>-6.85</v>
      </c>
      <c r="I47" s="692">
        <f t="shared" si="17"/>
        <v>-100</v>
      </c>
      <c r="J47" s="224" t="s">
        <v>579</v>
      </c>
    </row>
    <row r="48" spans="1:10" ht="15.75" customHeight="1">
      <c r="A48" s="128" t="s">
        <v>346</v>
      </c>
      <c r="B48" s="41" t="s">
        <v>257</v>
      </c>
      <c r="C48" s="130" t="s">
        <v>124</v>
      </c>
      <c r="D48" s="131"/>
      <c r="E48" s="131"/>
      <c r="F48" s="131">
        <v>0</v>
      </c>
      <c r="G48" s="392"/>
      <c r="H48" s="330">
        <f t="shared" si="16"/>
        <v>0</v>
      </c>
      <c r="I48" s="692"/>
      <c r="J48" s="224" t="s">
        <v>579</v>
      </c>
    </row>
    <row r="49" spans="1:10" ht="16.5" customHeight="1">
      <c r="A49" s="128" t="s">
        <v>347</v>
      </c>
      <c r="B49" s="41" t="s">
        <v>210</v>
      </c>
      <c r="C49" s="130" t="s">
        <v>124</v>
      </c>
      <c r="D49" s="131"/>
      <c r="E49" s="131"/>
      <c r="F49" s="131">
        <v>1.0609999999999999</v>
      </c>
      <c r="G49" s="392"/>
      <c r="H49" s="330">
        <f t="shared" si="16"/>
        <v>-1.0609999999999999</v>
      </c>
      <c r="I49" s="692">
        <f t="shared" si="17"/>
        <v>-100</v>
      </c>
      <c r="J49" s="224" t="s">
        <v>579</v>
      </c>
    </row>
    <row r="50" spans="1:10" ht="15" customHeight="1">
      <c r="A50" s="128" t="s">
        <v>348</v>
      </c>
      <c r="B50" s="137" t="s">
        <v>155</v>
      </c>
      <c r="C50" s="130" t="s">
        <v>124</v>
      </c>
      <c r="D50" s="131"/>
      <c r="E50" s="131"/>
      <c r="F50" s="131">
        <v>5.76</v>
      </c>
      <c r="G50" s="392"/>
      <c r="H50" s="330">
        <f t="shared" si="16"/>
        <v>-5.76</v>
      </c>
      <c r="I50" s="692">
        <f t="shared" si="17"/>
        <v>-100</v>
      </c>
      <c r="J50" s="224" t="s">
        <v>579</v>
      </c>
    </row>
    <row r="51" spans="1:10" ht="17.25" customHeight="1">
      <c r="A51" s="128" t="s">
        <v>349</v>
      </c>
      <c r="B51" s="137" t="s">
        <v>350</v>
      </c>
      <c r="C51" s="130" t="s">
        <v>58</v>
      </c>
      <c r="D51" s="131"/>
      <c r="E51" s="131"/>
      <c r="F51" s="131">
        <v>18.11</v>
      </c>
      <c r="G51" s="392"/>
      <c r="H51" s="330">
        <f t="shared" si="16"/>
        <v>-18.11</v>
      </c>
      <c r="I51" s="692">
        <f t="shared" si="17"/>
        <v>-100</v>
      </c>
      <c r="J51" s="224" t="s">
        <v>579</v>
      </c>
    </row>
    <row r="52" spans="1:10" ht="17.25" customHeight="1">
      <c r="A52" s="128" t="s">
        <v>527</v>
      </c>
      <c r="B52" s="137" t="s">
        <v>528</v>
      </c>
      <c r="C52" s="130" t="s">
        <v>58</v>
      </c>
      <c r="D52" s="131"/>
      <c r="E52" s="131"/>
      <c r="F52" s="131"/>
      <c r="G52" s="392">
        <v>4.0000000000000001E-3</v>
      </c>
      <c r="H52" s="330"/>
      <c r="I52" s="692"/>
      <c r="J52" s="224" t="s">
        <v>579</v>
      </c>
    </row>
    <row r="53" spans="1:10" ht="17.25" customHeight="1">
      <c r="A53" s="128" t="s">
        <v>239</v>
      </c>
      <c r="B53" s="137" t="s">
        <v>500</v>
      </c>
      <c r="C53" s="130" t="s">
        <v>58</v>
      </c>
      <c r="D53" s="131"/>
      <c r="E53" s="131"/>
      <c r="F53" s="131"/>
      <c r="G53" s="392"/>
      <c r="H53" s="330">
        <f t="shared" si="16"/>
        <v>0</v>
      </c>
      <c r="I53" s="692"/>
      <c r="J53" s="224" t="s">
        <v>579</v>
      </c>
    </row>
    <row r="54" spans="1:10" ht="16.5" customHeight="1">
      <c r="A54" s="426" t="s">
        <v>135</v>
      </c>
      <c r="B54" s="124" t="s">
        <v>351</v>
      </c>
      <c r="C54" s="125" t="s">
        <v>6</v>
      </c>
      <c r="D54" s="135">
        <f t="shared" ref="D54:H54" si="18">D5+D28</f>
        <v>52453.579999999987</v>
      </c>
      <c r="E54" s="126">
        <f t="shared" si="18"/>
        <v>40252.731771135877</v>
      </c>
      <c r="F54" s="135">
        <f>F5+F28</f>
        <v>40252.733</v>
      </c>
      <c r="G54" s="391">
        <f t="shared" si="18"/>
        <v>8303.5210000000006</v>
      </c>
      <c r="H54" s="135">
        <f t="shared" si="18"/>
        <v>-31949.212000000003</v>
      </c>
      <c r="I54" s="692">
        <f t="shared" si="17"/>
        <v>-79.371534847087275</v>
      </c>
      <c r="J54" s="693"/>
    </row>
    <row r="55" spans="1:10" ht="17.25" customHeight="1">
      <c r="A55" s="426" t="s">
        <v>63</v>
      </c>
      <c r="B55" s="124" t="s">
        <v>88</v>
      </c>
      <c r="C55" s="125"/>
      <c r="D55" s="131"/>
      <c r="E55" s="132">
        <f t="shared" ref="E55:F55" si="19">E56-E54</f>
        <v>1.6886412049643695E-4</v>
      </c>
      <c r="F55" s="131">
        <f t="shared" si="19"/>
        <v>-2.9999999969732016E-3</v>
      </c>
      <c r="G55" s="392"/>
      <c r="H55" s="224"/>
      <c r="I55" s="694"/>
      <c r="J55" s="224"/>
    </row>
    <row r="56" spans="1:10" ht="16.5" customHeight="1">
      <c r="A56" s="426" t="s">
        <v>65</v>
      </c>
      <c r="B56" s="124" t="s">
        <v>352</v>
      </c>
      <c r="C56" s="125" t="s">
        <v>6</v>
      </c>
      <c r="D56" s="135">
        <v>52453.58</v>
      </c>
      <c r="E56" s="126">
        <f>E61*E65</f>
        <v>40252.731939999998</v>
      </c>
      <c r="F56" s="135">
        <f t="shared" ref="F56:G56" si="20">F62</f>
        <v>40252.730000000003</v>
      </c>
      <c r="G56" s="391">
        <f t="shared" si="20"/>
        <v>0</v>
      </c>
      <c r="H56" s="224"/>
      <c r="I56" s="694"/>
      <c r="J56" s="224"/>
    </row>
    <row r="57" spans="1:10" ht="12.75" hidden="1" customHeight="1">
      <c r="A57" s="426"/>
      <c r="B57" s="124" t="s">
        <v>258</v>
      </c>
      <c r="C57" s="125" t="s">
        <v>6</v>
      </c>
      <c r="D57" s="135"/>
      <c r="E57" s="126"/>
      <c r="F57" s="135"/>
      <c r="G57" s="391"/>
      <c r="H57" s="224"/>
      <c r="I57" s="694"/>
      <c r="J57" s="224"/>
    </row>
    <row r="58" spans="1:10" ht="12.75" hidden="1" customHeight="1">
      <c r="A58" s="426"/>
      <c r="B58" s="124" t="s">
        <v>140</v>
      </c>
      <c r="C58" s="125" t="s">
        <v>6</v>
      </c>
      <c r="D58" s="135"/>
      <c r="E58" s="126"/>
      <c r="F58" s="135"/>
      <c r="G58" s="391"/>
      <c r="H58" s="224"/>
      <c r="I58" s="694"/>
      <c r="J58" s="224"/>
    </row>
    <row r="59" spans="1:10" ht="33" customHeight="1">
      <c r="A59" s="426"/>
      <c r="B59" s="124" t="s">
        <v>140</v>
      </c>
      <c r="C59" s="125" t="s">
        <v>6</v>
      </c>
      <c r="D59" s="135"/>
      <c r="E59" s="126"/>
      <c r="F59" s="135"/>
      <c r="G59" s="391"/>
      <c r="H59" s="224"/>
      <c r="I59" s="694"/>
      <c r="J59" s="224"/>
    </row>
    <row r="60" spans="1:10" ht="16.5" customHeight="1">
      <c r="A60" s="426"/>
      <c r="B60" s="124" t="s">
        <v>176</v>
      </c>
      <c r="C60" s="125" t="s">
        <v>6</v>
      </c>
      <c r="D60" s="135"/>
      <c r="E60" s="126"/>
      <c r="F60" s="135">
        <f>F54+F57</f>
        <v>40252.733</v>
      </c>
      <c r="G60" s="391">
        <f>G56+G59</f>
        <v>0</v>
      </c>
      <c r="H60" s="224"/>
      <c r="I60" s="694"/>
      <c r="J60" s="224"/>
    </row>
    <row r="61" spans="1:10" ht="16.5" customHeight="1">
      <c r="A61" s="930" t="s">
        <v>68</v>
      </c>
      <c r="B61" s="931" t="s">
        <v>353</v>
      </c>
      <c r="C61" s="125" t="s">
        <v>97</v>
      </c>
      <c r="D61" s="135">
        <v>114430.81</v>
      </c>
      <c r="E61" s="126">
        <v>87505.938999999998</v>
      </c>
      <c r="F61" s="135">
        <v>87505.94</v>
      </c>
      <c r="G61" s="391"/>
      <c r="H61" s="224"/>
      <c r="I61" s="694"/>
      <c r="J61" s="224"/>
    </row>
    <row r="62" spans="1:10" ht="16.5" customHeight="1">
      <c r="A62" s="930"/>
      <c r="B62" s="931"/>
      <c r="C62" s="125" t="s">
        <v>6</v>
      </c>
      <c r="D62" s="135">
        <v>52453.58</v>
      </c>
      <c r="E62" s="135"/>
      <c r="F62" s="135">
        <f>ROUND(F61*F65,2)</f>
        <v>40252.730000000003</v>
      </c>
      <c r="G62" s="391"/>
      <c r="H62" s="224"/>
      <c r="I62" s="694"/>
      <c r="J62" s="224"/>
    </row>
    <row r="63" spans="1:10" ht="16.5" customHeight="1">
      <c r="A63" s="932" t="s">
        <v>69</v>
      </c>
      <c r="B63" s="917" t="s">
        <v>354</v>
      </c>
      <c r="C63" s="124" t="s">
        <v>67</v>
      </c>
      <c r="D63" s="135">
        <v>20.9</v>
      </c>
      <c r="E63" s="135"/>
      <c r="F63" s="135"/>
      <c r="G63" s="393"/>
      <c r="H63" s="224"/>
      <c r="I63" s="694"/>
      <c r="J63" s="224"/>
    </row>
    <row r="64" spans="1:10" ht="16.5" customHeight="1">
      <c r="A64" s="932"/>
      <c r="B64" s="917"/>
      <c r="C64" s="134" t="s">
        <v>58</v>
      </c>
      <c r="D64" s="147">
        <v>30235.19</v>
      </c>
      <c r="E64" s="147"/>
      <c r="F64" s="147"/>
      <c r="G64" s="351"/>
      <c r="H64" s="224"/>
      <c r="I64" s="694"/>
      <c r="J64" s="224"/>
    </row>
    <row r="65" spans="1:12" ht="17.25" customHeight="1">
      <c r="A65" s="427" t="s">
        <v>98</v>
      </c>
      <c r="B65" s="428" t="s">
        <v>70</v>
      </c>
      <c r="C65" s="124" t="s">
        <v>58</v>
      </c>
      <c r="D65" s="135">
        <v>0.46</v>
      </c>
      <c r="E65" s="135">
        <v>0.46</v>
      </c>
      <c r="F65" s="135">
        <v>0.46</v>
      </c>
      <c r="G65" s="390">
        <v>0.37</v>
      </c>
      <c r="H65" s="224"/>
      <c r="I65" s="694"/>
      <c r="J65" s="224"/>
      <c r="L65" s="324"/>
    </row>
    <row r="66" spans="1:12" ht="13.5" hidden="1" customHeight="1">
      <c r="A66" s="427"/>
      <c r="B66" s="428" t="s">
        <v>355</v>
      </c>
      <c r="C66" s="124"/>
      <c r="D66" s="135"/>
      <c r="E66" s="135">
        <f>E56/D56+0.01383235</f>
        <v>0.78122957894033163</v>
      </c>
      <c r="F66" s="135"/>
      <c r="G66" s="390"/>
      <c r="H66" s="224"/>
      <c r="I66" s="694"/>
      <c r="J66" s="224"/>
    </row>
    <row r="67" spans="1:12" ht="16.5" customHeight="1">
      <c r="A67" s="427"/>
      <c r="B67" s="149" t="s">
        <v>392</v>
      </c>
      <c r="C67" s="149"/>
      <c r="D67" s="131" t="s">
        <v>356</v>
      </c>
      <c r="E67" s="131"/>
      <c r="F67" s="131"/>
      <c r="G67" s="394"/>
      <c r="H67" s="224"/>
      <c r="I67" s="694"/>
      <c r="J67" s="224"/>
    </row>
    <row r="68" spans="1:12" ht="31.5">
      <c r="A68" s="133"/>
      <c r="B68" s="127" t="s">
        <v>513</v>
      </c>
      <c r="C68" s="427" t="s">
        <v>102</v>
      </c>
      <c r="D68" s="135">
        <f>SUM(D69:D70)</f>
        <v>66</v>
      </c>
      <c r="E68" s="135"/>
      <c r="F68" s="135">
        <f>SUM(F69:F70)</f>
        <v>66</v>
      </c>
      <c r="G68" s="391">
        <f>SUM(G69:G70)</f>
        <v>25</v>
      </c>
      <c r="H68" s="224"/>
      <c r="I68" s="694"/>
      <c r="J68" s="224"/>
    </row>
    <row r="69" spans="1:12" ht="17.25" customHeight="1">
      <c r="A69" s="427">
        <v>8</v>
      </c>
      <c r="B69" s="150" t="s">
        <v>297</v>
      </c>
      <c r="C69" s="151" t="s">
        <v>102</v>
      </c>
      <c r="D69" s="131">
        <v>59</v>
      </c>
      <c r="E69" s="131"/>
      <c r="F69" s="131">
        <v>59</v>
      </c>
      <c r="G69" s="392">
        <v>20</v>
      </c>
      <c r="H69" s="224"/>
      <c r="I69" s="694"/>
      <c r="J69" s="224"/>
    </row>
    <row r="70" spans="1:12" ht="17.25" customHeight="1">
      <c r="A70" s="152" t="s">
        <v>300</v>
      </c>
      <c r="B70" s="150" t="s">
        <v>298</v>
      </c>
      <c r="C70" s="151" t="s">
        <v>102</v>
      </c>
      <c r="D70" s="131">
        <v>7</v>
      </c>
      <c r="E70" s="131"/>
      <c r="F70" s="131">
        <v>7</v>
      </c>
      <c r="G70" s="392">
        <v>5</v>
      </c>
      <c r="H70" s="224"/>
      <c r="I70" s="694"/>
      <c r="J70" s="224"/>
    </row>
    <row r="71" spans="1:12" ht="17.25" customHeight="1">
      <c r="A71" s="152" t="s">
        <v>301</v>
      </c>
      <c r="B71" s="127" t="s">
        <v>137</v>
      </c>
      <c r="C71" s="427" t="s">
        <v>105</v>
      </c>
      <c r="D71" s="135">
        <v>45119</v>
      </c>
      <c r="E71" s="135"/>
      <c r="F71" s="135">
        <v>45119</v>
      </c>
      <c r="G71" s="391">
        <f>AVERAGE(G72:G73)</f>
        <v>63949.018750000003</v>
      </c>
      <c r="H71" s="224"/>
      <c r="I71" s="694"/>
      <c r="J71" s="224"/>
    </row>
    <row r="72" spans="1:12" ht="17.25" customHeight="1">
      <c r="A72" s="153" t="s">
        <v>357</v>
      </c>
      <c r="B72" s="154" t="s">
        <v>297</v>
      </c>
      <c r="C72" s="151" t="s">
        <v>105</v>
      </c>
      <c r="D72" s="131">
        <v>42390</v>
      </c>
      <c r="E72" s="131"/>
      <c r="F72" s="131">
        <v>42390</v>
      </c>
      <c r="G72" s="392">
        <f>G13/4/G69*1000</f>
        <v>48779.837500000001</v>
      </c>
      <c r="H72" s="224"/>
      <c r="I72" s="694"/>
      <c r="J72" s="224"/>
    </row>
    <row r="73" spans="1:12" ht="17.25" customHeight="1">
      <c r="A73" s="152" t="s">
        <v>358</v>
      </c>
      <c r="B73" s="154" t="s">
        <v>298</v>
      </c>
      <c r="C73" s="151" t="s">
        <v>105</v>
      </c>
      <c r="D73" s="131">
        <v>68125</v>
      </c>
      <c r="E73" s="131"/>
      <c r="F73" s="131">
        <v>68125</v>
      </c>
      <c r="G73" s="392">
        <f>G30/4/G70*1000</f>
        <v>79118.2</v>
      </c>
      <c r="H73" s="224"/>
      <c r="I73" s="694"/>
      <c r="J73" s="224"/>
    </row>
    <row r="74" spans="1:12">
      <c r="A74" s="155"/>
      <c r="B74" s="156"/>
      <c r="C74" s="157"/>
      <c r="D74" s="158"/>
      <c r="E74" s="158"/>
      <c r="F74" s="158"/>
      <c r="G74" s="395"/>
      <c r="I74" s="690"/>
      <c r="J74" s="123"/>
    </row>
    <row r="75" spans="1:12" hidden="1">
      <c r="A75" s="155"/>
      <c r="B75" s="156"/>
      <c r="C75" s="157"/>
      <c r="D75" s="158"/>
      <c r="E75" s="158"/>
      <c r="F75" s="158"/>
      <c r="G75" s="395"/>
      <c r="I75" s="690"/>
      <c r="J75" s="123"/>
    </row>
    <row r="76" spans="1:12" ht="60.75" hidden="1" customHeight="1">
      <c r="A76" s="96"/>
      <c r="B76" s="422" t="s">
        <v>181</v>
      </c>
      <c r="C76" s="422" t="s">
        <v>183</v>
      </c>
      <c r="D76" s="424" t="s">
        <v>141</v>
      </c>
      <c r="E76" s="424" t="s">
        <v>268</v>
      </c>
      <c r="F76" s="424"/>
      <c r="G76" s="396" t="s">
        <v>185</v>
      </c>
      <c r="I76" s="690"/>
      <c r="J76" s="123"/>
    </row>
    <row r="77" spans="1:12" hidden="1">
      <c r="A77" s="96"/>
      <c r="B77" s="67" t="s">
        <v>359</v>
      </c>
      <c r="C77" s="68">
        <f>447.552+13355.692</f>
        <v>13803.243999999999</v>
      </c>
      <c r="D77" s="69">
        <v>0.46</v>
      </c>
      <c r="E77" s="69"/>
      <c r="F77" s="69"/>
      <c r="G77" s="383">
        <f>ROUND(C77*D77,3)</f>
        <v>6349.4920000000002</v>
      </c>
      <c r="I77" s="690"/>
      <c r="J77" s="123"/>
    </row>
    <row r="78" spans="1:12" ht="31.5" hidden="1">
      <c r="A78" s="96"/>
      <c r="B78" s="67" t="s">
        <v>184</v>
      </c>
      <c r="C78" s="68">
        <f>39832.479+23251.644+10618.572</f>
        <v>73702.695000000007</v>
      </c>
      <c r="D78" s="69">
        <v>0.37</v>
      </c>
      <c r="E78" s="69">
        <f>D77-D78</f>
        <v>9.0000000000000024E-2</v>
      </c>
      <c r="F78" s="69"/>
      <c r="G78" s="383">
        <f>ROUND(C78*D78,3)</f>
        <v>27269.996999999999</v>
      </c>
      <c r="I78" s="690"/>
      <c r="J78" s="123"/>
    </row>
    <row r="79" spans="1:12" hidden="1">
      <c r="A79" s="96"/>
      <c r="B79" s="422" t="s">
        <v>360</v>
      </c>
      <c r="C79" s="72">
        <f>SUM(C77:C78)</f>
        <v>87505.939000000013</v>
      </c>
      <c r="D79" s="73"/>
      <c r="E79" s="73"/>
      <c r="F79" s="73"/>
      <c r="G79" s="384">
        <f>SUM(G77:G78)</f>
        <v>33619.489000000001</v>
      </c>
      <c r="I79" s="690"/>
      <c r="J79" s="123"/>
    </row>
    <row r="80" spans="1:12" hidden="1">
      <c r="A80" s="155"/>
      <c r="B80" s="156"/>
      <c r="C80" s="157"/>
      <c r="D80" s="158"/>
      <c r="E80" s="158"/>
      <c r="F80" s="158"/>
      <c r="G80" s="395"/>
      <c r="I80" s="690"/>
      <c r="J80" s="123"/>
    </row>
    <row r="81" spans="1:10">
      <c r="I81" s="690"/>
      <c r="J81" s="123"/>
    </row>
    <row r="82" spans="1:10" s="4" customFormat="1">
      <c r="A82" s="159"/>
      <c r="B82" s="77" t="s">
        <v>517</v>
      </c>
      <c r="C82" s="77"/>
      <c r="D82" s="77"/>
      <c r="E82" s="77"/>
      <c r="F82" s="77"/>
      <c r="G82" s="397"/>
      <c r="H82" s="77" t="s">
        <v>304</v>
      </c>
      <c r="I82" s="77"/>
      <c r="J82" s="77"/>
    </row>
    <row r="83" spans="1:10" s="4" customFormat="1">
      <c r="A83" s="159"/>
      <c r="B83" s="77"/>
      <c r="C83" s="77"/>
      <c r="D83" s="77"/>
      <c r="E83" s="77"/>
      <c r="F83" s="77"/>
      <c r="G83" s="397"/>
      <c r="H83" s="77"/>
      <c r="I83" s="77"/>
      <c r="J83" s="77"/>
    </row>
    <row r="84" spans="1:10" s="4" customFormat="1">
      <c r="A84" s="159"/>
      <c r="B84" s="77" t="s">
        <v>71</v>
      </c>
      <c r="C84" s="77"/>
      <c r="D84" s="77"/>
      <c r="E84" s="77"/>
      <c r="F84" s="77"/>
      <c r="G84" s="397"/>
      <c r="H84" s="77" t="s">
        <v>595</v>
      </c>
      <c r="I84" s="77"/>
      <c r="J84" s="77"/>
    </row>
    <row r="85" spans="1:10" s="4" customFormat="1" ht="15" customHeight="1">
      <c r="A85" s="159"/>
      <c r="B85" s="77"/>
      <c r="C85" s="77"/>
      <c r="D85" s="77"/>
      <c r="E85" s="77"/>
      <c r="F85" s="77"/>
      <c r="G85" s="369"/>
      <c r="H85" s="77"/>
      <c r="I85" s="77"/>
      <c r="J85" s="77"/>
    </row>
    <row r="86" spans="1:10" s="4" customFormat="1" ht="15" customHeight="1">
      <c r="A86" s="159"/>
      <c r="B86" s="77" t="s">
        <v>72</v>
      </c>
      <c r="C86" s="77"/>
      <c r="D86" s="77"/>
      <c r="E86" s="77"/>
      <c r="F86" s="77"/>
      <c r="G86" s="397"/>
      <c r="H86" s="77" t="s">
        <v>169</v>
      </c>
      <c r="I86" s="77"/>
      <c r="J86" s="77"/>
    </row>
    <row r="87" spans="1:10" s="4" customFormat="1">
      <c r="A87" s="159"/>
      <c r="B87" s="77"/>
      <c r="C87" s="77"/>
      <c r="D87" s="77"/>
      <c r="E87" s="77"/>
      <c r="F87" s="77"/>
      <c r="G87" s="397"/>
      <c r="H87" s="77"/>
      <c r="I87" s="77"/>
      <c r="J87" s="77"/>
    </row>
    <row r="88" spans="1:10" s="4" customFormat="1">
      <c r="A88" s="77"/>
      <c r="B88" s="77" t="s">
        <v>593</v>
      </c>
      <c r="C88" s="77"/>
      <c r="D88" s="77"/>
      <c r="E88" s="77"/>
      <c r="F88" s="77"/>
      <c r="G88" s="77"/>
      <c r="H88" s="77" t="s">
        <v>590</v>
      </c>
      <c r="I88" s="77"/>
      <c r="J88" s="77"/>
    </row>
    <row r="89" spans="1:10" s="4" customFormat="1">
      <c r="A89" s="77"/>
      <c r="B89" s="77"/>
      <c r="C89" s="77"/>
      <c r="D89" s="77"/>
      <c r="E89" s="77"/>
      <c r="F89" s="77"/>
      <c r="G89" s="397"/>
      <c r="H89" s="77"/>
      <c r="I89" s="340"/>
      <c r="J89" s="77"/>
    </row>
    <row r="90" spans="1:10">
      <c r="I90" s="690"/>
      <c r="J90" s="123"/>
    </row>
    <row r="91" spans="1:10">
      <c r="A91" s="76" t="s">
        <v>108</v>
      </c>
      <c r="B91" s="76" t="s">
        <v>505</v>
      </c>
      <c r="I91" s="690"/>
      <c r="J91" s="123"/>
    </row>
    <row r="92" spans="1:10">
      <c r="A92" s="65"/>
      <c r="B92" s="76" t="s">
        <v>109</v>
      </c>
      <c r="I92" s="690"/>
      <c r="J92" s="123"/>
    </row>
    <row r="93" spans="1:10">
      <c r="B93" s="76" t="s">
        <v>592</v>
      </c>
      <c r="I93" s="690"/>
      <c r="J93" s="123"/>
    </row>
    <row r="94" spans="1:10">
      <c r="I94" s="690"/>
      <c r="J94" s="123"/>
    </row>
    <row r="95" spans="1:10">
      <c r="I95" s="690"/>
      <c r="J95" s="123"/>
    </row>
  </sheetData>
  <mergeCells count="11">
    <mergeCell ref="H3:I3"/>
    <mergeCell ref="A1:J1"/>
    <mergeCell ref="A61:A62"/>
    <mergeCell ref="B61:B62"/>
    <mergeCell ref="A63:A64"/>
    <mergeCell ref="B63:B64"/>
    <mergeCell ref="A3:A4"/>
    <mergeCell ref="B3:B4"/>
    <mergeCell ref="C3:C4"/>
    <mergeCell ref="F3:F4"/>
    <mergeCell ref="G3:G4"/>
  </mergeCells>
  <pageMargins left="0.98425196850393704" right="0.31496062992125984" top="0.74803149606299213" bottom="0.43307086614173229" header="0" footer="0"/>
  <pageSetup paperSize="9" scale="48" orientation="portrait" horizontalDpi="180" verticalDpi="180" r:id="rId1"/>
  <rowBreaks count="1" manualBreakCount="1">
    <brk id="9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FF"/>
  </sheetPr>
  <dimension ref="A1:Q69"/>
  <sheetViews>
    <sheetView view="pageBreakPreview" zoomScale="90" zoomScaleNormal="90" zoomScaleSheetLayoutView="90" workbookViewId="0">
      <pane xSplit="3" ySplit="4" topLeftCell="K5" activePane="bottomRight" state="frozen"/>
      <selection pane="topRight" activeCell="D1" sqref="D1"/>
      <selection pane="bottomLeft" activeCell="A4" sqref="A4"/>
      <selection pane="bottomRight" activeCell="L10" sqref="L10"/>
    </sheetView>
  </sheetViews>
  <sheetFormatPr defaultColWidth="9.140625" defaultRowHeight="15"/>
  <cols>
    <col min="1" max="1" width="6.140625" style="11" customWidth="1"/>
    <col min="2" max="2" width="41.28515625" style="11" customWidth="1"/>
    <col min="3" max="3" width="12.140625" style="11" customWidth="1"/>
    <col min="4" max="5" width="17" style="11" hidden="1" customWidth="1"/>
    <col min="6" max="6" width="15.140625" style="11" hidden="1" customWidth="1"/>
    <col min="7" max="7" width="11.85546875" hidden="1" customWidth="1"/>
    <col min="8" max="8" width="17" style="11" hidden="1" customWidth="1"/>
    <col min="9" max="10" width="16.28515625" style="11" hidden="1" customWidth="1"/>
    <col min="11" max="11" width="19.140625" style="11" customWidth="1"/>
    <col min="12" max="12" width="15.5703125" style="387" customWidth="1"/>
    <col min="13" max="13" width="14.7109375" style="9" customWidth="1"/>
    <col min="14" max="14" width="10.85546875" style="343" customWidth="1"/>
    <col min="15" max="15" width="36.5703125" style="303" customWidth="1"/>
    <col min="16" max="16" width="26.140625" style="9" customWidth="1"/>
    <col min="17" max="16384" width="9.140625" style="9"/>
  </cols>
  <sheetData>
    <row r="1" spans="1:17" ht="65.25" customHeight="1">
      <c r="A1" s="939" t="s">
        <v>584</v>
      </c>
      <c r="B1" s="939"/>
      <c r="C1" s="939"/>
      <c r="D1" s="939"/>
      <c r="E1" s="939"/>
      <c r="F1" s="939"/>
      <c r="G1" s="939"/>
      <c r="H1" s="939"/>
      <c r="I1" s="939"/>
      <c r="J1" s="939"/>
      <c r="K1" s="939"/>
      <c r="L1" s="939"/>
      <c r="M1" s="939"/>
      <c r="N1" s="939"/>
      <c r="O1" s="939"/>
    </row>
    <row r="2" spans="1:17" ht="15.75">
      <c r="A2" s="399"/>
      <c r="B2" s="399"/>
      <c r="C2" s="399"/>
      <c r="D2" s="399"/>
      <c r="E2" s="399"/>
      <c r="F2" s="399"/>
      <c r="G2" s="695"/>
      <c r="H2" s="399"/>
      <c r="I2" s="399"/>
      <c r="J2" s="399"/>
      <c r="K2" s="399"/>
      <c r="L2" s="619"/>
      <c r="M2" s="160"/>
      <c r="N2" s="696"/>
      <c r="O2" s="697"/>
    </row>
    <row r="3" spans="1:17" ht="35.25" customHeight="1">
      <c r="A3" s="935" t="s">
        <v>0</v>
      </c>
      <c r="B3" s="935" t="s">
        <v>173</v>
      </c>
      <c r="C3" s="935" t="s">
        <v>174</v>
      </c>
      <c r="D3" s="698" t="s">
        <v>418</v>
      </c>
      <c r="E3" s="698" t="s">
        <v>419</v>
      </c>
      <c r="F3" s="935" t="s">
        <v>420</v>
      </c>
      <c r="G3" s="935" t="s">
        <v>421</v>
      </c>
      <c r="H3" s="935" t="s">
        <v>422</v>
      </c>
      <c r="I3" s="935" t="s">
        <v>423</v>
      </c>
      <c r="J3" s="935" t="s">
        <v>194</v>
      </c>
      <c r="K3" s="943" t="s">
        <v>507</v>
      </c>
      <c r="L3" s="935" t="s">
        <v>568</v>
      </c>
      <c r="M3" s="937" t="s">
        <v>516</v>
      </c>
      <c r="N3" s="940" t="s">
        <v>502</v>
      </c>
      <c r="O3" s="937" t="s">
        <v>503</v>
      </c>
    </row>
    <row r="4" spans="1:17" ht="42" customHeight="1">
      <c r="A4" s="936"/>
      <c r="B4" s="936"/>
      <c r="C4" s="936"/>
      <c r="D4" s="945" t="s">
        <v>424</v>
      </c>
      <c r="E4" s="945"/>
      <c r="F4" s="936"/>
      <c r="G4" s="936"/>
      <c r="H4" s="936"/>
      <c r="I4" s="936"/>
      <c r="J4" s="936"/>
      <c r="K4" s="944"/>
      <c r="L4" s="936"/>
      <c r="M4" s="938"/>
      <c r="N4" s="941"/>
      <c r="O4" s="938"/>
    </row>
    <row r="5" spans="1:17" s="273" customFormat="1" ht="30.75" customHeight="1">
      <c r="A5" s="427" t="s">
        <v>59</v>
      </c>
      <c r="B5" s="127" t="s">
        <v>123</v>
      </c>
      <c r="C5" s="125" t="s">
        <v>6</v>
      </c>
      <c r="D5" s="622">
        <f t="shared" ref="D5:J5" si="0">D6+D12+D16+D18+D17</f>
        <v>17356.400000000001</v>
      </c>
      <c r="E5" s="622">
        <f t="shared" si="0"/>
        <v>16465.770714285718</v>
      </c>
      <c r="F5" s="622" t="e">
        <f t="shared" si="0"/>
        <v>#REF!</v>
      </c>
      <c r="G5" s="622">
        <f t="shared" si="0"/>
        <v>5111.9829999999993</v>
      </c>
      <c r="H5" s="622">
        <f t="shared" si="0"/>
        <v>29981.510000000002</v>
      </c>
      <c r="I5" s="622" t="e">
        <f t="shared" si="0"/>
        <v>#REF!</v>
      </c>
      <c r="J5" s="622" t="e">
        <f t="shared" si="0"/>
        <v>#REF!</v>
      </c>
      <c r="K5" s="622">
        <f>K6+K12+K16+K17+K18</f>
        <v>33293.727000000006</v>
      </c>
      <c r="L5" s="623">
        <f t="shared" ref="L5:M5" si="1">L6+L12+L16+L18+L17</f>
        <v>6157.8440000000001</v>
      </c>
      <c r="M5" s="623">
        <f t="shared" si="1"/>
        <v>-27155.906999999999</v>
      </c>
      <c r="N5" s="699">
        <f t="shared" ref="N5:N8" si="2">L5/K5*100-100</f>
        <v>-81.504491822138149</v>
      </c>
      <c r="O5" s="623"/>
      <c r="P5" s="294" t="e">
        <f>+#REF!-38.789</f>
        <v>#REF!</v>
      </c>
      <c r="Q5" s="368">
        <f>L5-6156.298</f>
        <v>1.5460000000002765</v>
      </c>
    </row>
    <row r="6" spans="1:17" s="10" customFormat="1" ht="15" customHeight="1">
      <c r="A6" s="700">
        <v>1</v>
      </c>
      <c r="B6" s="701" t="s">
        <v>158</v>
      </c>
      <c r="C6" s="698" t="s">
        <v>130</v>
      </c>
      <c r="D6" s="623">
        <f t="shared" ref="D6:M6" si="3">SUM(D8:D11)</f>
        <v>1488.3</v>
      </c>
      <c r="E6" s="623">
        <f t="shared" si="3"/>
        <v>1328.8392857142856</v>
      </c>
      <c r="F6" s="623" t="e">
        <f t="shared" si="3"/>
        <v>#REF!</v>
      </c>
      <c r="G6" s="623">
        <f t="shared" si="3"/>
        <v>408.964</v>
      </c>
      <c r="H6" s="623">
        <f t="shared" si="3"/>
        <v>1546.77</v>
      </c>
      <c r="I6" s="623" t="e">
        <f t="shared" si="3"/>
        <v>#REF!</v>
      </c>
      <c r="J6" s="623" t="e">
        <f t="shared" si="3"/>
        <v>#REF!</v>
      </c>
      <c r="K6" s="623">
        <f t="shared" si="3"/>
        <v>1713.403</v>
      </c>
      <c r="L6" s="623">
        <f>SUM(L7:L11)</f>
        <v>120.16</v>
      </c>
      <c r="M6" s="623">
        <f t="shared" si="3"/>
        <v>-1613.2670000000001</v>
      </c>
      <c r="N6" s="699">
        <f t="shared" si="2"/>
        <v>-92.987055584704819</v>
      </c>
      <c r="O6" s="623"/>
      <c r="P6" s="323"/>
    </row>
    <row r="7" spans="1:17" s="10" customFormat="1" ht="15" customHeight="1">
      <c r="A7" s="702" t="s">
        <v>9</v>
      </c>
      <c r="B7" s="703" t="s">
        <v>10</v>
      </c>
      <c r="C7" s="704" t="s">
        <v>124</v>
      </c>
      <c r="D7" s="623"/>
      <c r="E7" s="623"/>
      <c r="F7" s="623"/>
      <c r="G7" s="623"/>
      <c r="H7" s="623"/>
      <c r="I7" s="623"/>
      <c r="J7" s="623"/>
      <c r="K7" s="623"/>
      <c r="L7" s="627">
        <v>20.024000000000001</v>
      </c>
      <c r="M7" s="346">
        <f t="shared" ref="M7:M8" si="4">L7-K7</f>
        <v>20.024000000000001</v>
      </c>
      <c r="N7" s="699"/>
      <c r="O7" s="623"/>
      <c r="P7" s="323"/>
    </row>
    <row r="8" spans="1:17" s="10" customFormat="1" ht="15.75">
      <c r="A8" s="702" t="s">
        <v>11</v>
      </c>
      <c r="B8" s="703" t="s">
        <v>125</v>
      </c>
      <c r="C8" s="704" t="s">
        <v>124</v>
      </c>
      <c r="D8" s="627">
        <v>0</v>
      </c>
      <c r="E8" s="627">
        <f>+D8/1.12</f>
        <v>0</v>
      </c>
      <c r="F8" s="627">
        <v>0</v>
      </c>
      <c r="G8" s="705">
        <v>0</v>
      </c>
      <c r="H8" s="627">
        <v>0</v>
      </c>
      <c r="I8" s="627" t="e">
        <f>+ROUND(H8*#REF!,3)</f>
        <v>#REF!</v>
      </c>
      <c r="J8" s="627" t="e">
        <f>F8+I8</f>
        <v>#REF!</v>
      </c>
      <c r="K8" s="627">
        <v>1049.681</v>
      </c>
      <c r="L8" s="346"/>
      <c r="M8" s="346">
        <f t="shared" si="4"/>
        <v>-1049.681</v>
      </c>
      <c r="N8" s="699">
        <f t="shared" si="2"/>
        <v>-100</v>
      </c>
      <c r="O8" s="344" t="s">
        <v>579</v>
      </c>
    </row>
    <row r="9" spans="1:17" ht="14.25" customHeight="1">
      <c r="A9" s="702" t="s">
        <v>13</v>
      </c>
      <c r="B9" s="703" t="s">
        <v>544</v>
      </c>
      <c r="C9" s="704" t="s">
        <v>124</v>
      </c>
      <c r="D9" s="627">
        <v>915</v>
      </c>
      <c r="E9" s="627">
        <f>+D9/1.12</f>
        <v>816.96428571428567</v>
      </c>
      <c r="F9" s="627" t="e">
        <f>ROUND(E9*#REF!,2)</f>
        <v>#REF!</v>
      </c>
      <c r="G9" s="706">
        <v>382.38900000000001</v>
      </c>
      <c r="H9" s="627">
        <v>950</v>
      </c>
      <c r="I9" s="627" t="e">
        <f>ROUND(H9*#REF!,2)</f>
        <v>#REF!</v>
      </c>
      <c r="J9" s="627" t="e">
        <f>F9+I9</f>
        <v>#REF!</v>
      </c>
      <c r="K9" s="627">
        <v>82.2</v>
      </c>
      <c r="L9" s="627">
        <f>5.135+38.236</f>
        <v>43.370999999999995</v>
      </c>
      <c r="M9" s="346">
        <f>L9-K9</f>
        <v>-38.829000000000008</v>
      </c>
      <c r="N9" s="699">
        <f>L9/K9*100-100</f>
        <v>-47.237226277372265</v>
      </c>
      <c r="O9" s="344" t="s">
        <v>579</v>
      </c>
    </row>
    <row r="10" spans="1:17" ht="15.75">
      <c r="A10" s="702" t="s">
        <v>14</v>
      </c>
      <c r="B10" s="707" t="s">
        <v>199</v>
      </c>
      <c r="C10" s="704" t="s">
        <v>124</v>
      </c>
      <c r="D10" s="627">
        <v>480</v>
      </c>
      <c r="E10" s="627">
        <f>+D10/1.12</f>
        <v>428.57142857142856</v>
      </c>
      <c r="F10" s="627" t="e">
        <f>ROUND(E10*#REF!,2)</f>
        <v>#REF!</v>
      </c>
      <c r="G10" s="706"/>
      <c r="H10" s="627">
        <v>500</v>
      </c>
      <c r="I10" s="627" t="e">
        <f>ROUND(H10*#REF!,2)</f>
        <v>#REF!</v>
      </c>
      <c r="J10" s="627" t="e">
        <f>F10+I10</f>
        <v>#REF!</v>
      </c>
      <c r="K10" s="627">
        <v>500</v>
      </c>
      <c r="L10" s="346"/>
      <c r="M10" s="346">
        <f t="shared" ref="M10:M11" si="5">L10-K10</f>
        <v>-500</v>
      </c>
      <c r="N10" s="699">
        <f t="shared" ref="N10:N41" si="6">L10/K10*100-100</f>
        <v>-100</v>
      </c>
      <c r="O10" s="344" t="s">
        <v>579</v>
      </c>
    </row>
    <row r="11" spans="1:17" ht="15.75">
      <c r="A11" s="702" t="s">
        <v>16</v>
      </c>
      <c r="B11" s="708" t="s">
        <v>17</v>
      </c>
      <c r="C11" s="704" t="s">
        <v>124</v>
      </c>
      <c r="D11" s="627">
        <v>93.3</v>
      </c>
      <c r="E11" s="627">
        <f>+D11/1.12</f>
        <v>83.303571428571416</v>
      </c>
      <c r="F11" s="627" t="e">
        <f>ROUND(E11*#REF!,2)</f>
        <v>#REF!</v>
      </c>
      <c r="G11" s="706">
        <v>26.574999999999999</v>
      </c>
      <c r="H11" s="627">
        <v>96.77</v>
      </c>
      <c r="I11" s="627" t="e">
        <f>ROUND(H11*#REF!,2)</f>
        <v>#REF!</v>
      </c>
      <c r="J11" s="627" t="e">
        <f>F11+I11</f>
        <v>#REF!</v>
      </c>
      <c r="K11" s="627">
        <v>81.522000000000006</v>
      </c>
      <c r="L11" s="627">
        <v>56.765000000000001</v>
      </c>
      <c r="M11" s="346">
        <f t="shared" si="5"/>
        <v>-24.757000000000005</v>
      </c>
      <c r="N11" s="699">
        <f t="shared" si="6"/>
        <v>-30.368489487500312</v>
      </c>
      <c r="O11" s="344" t="s">
        <v>579</v>
      </c>
    </row>
    <row r="12" spans="1:17" s="10" customFormat="1" ht="15.75" customHeight="1">
      <c r="A12" s="700">
        <v>2</v>
      </c>
      <c r="B12" s="701" t="s">
        <v>126</v>
      </c>
      <c r="C12" s="698" t="s">
        <v>130</v>
      </c>
      <c r="D12" s="623">
        <f t="shared" ref="D12:K12" si="7">SUM(D13:D15)</f>
        <v>11489.6</v>
      </c>
      <c r="E12" s="623">
        <f t="shared" si="7"/>
        <v>11489.6</v>
      </c>
      <c r="F12" s="623" t="e">
        <f t="shared" si="7"/>
        <v>#REF!</v>
      </c>
      <c r="G12" s="623">
        <f t="shared" si="7"/>
        <v>4559.0989999999993</v>
      </c>
      <c r="H12" s="623">
        <f t="shared" si="7"/>
        <v>24117.370000000003</v>
      </c>
      <c r="I12" s="623" t="e">
        <f t="shared" si="7"/>
        <v>#REF!</v>
      </c>
      <c r="J12" s="623" t="e">
        <f t="shared" si="7"/>
        <v>#REF!</v>
      </c>
      <c r="K12" s="623">
        <f t="shared" si="7"/>
        <v>27961.070000000003</v>
      </c>
      <c r="L12" s="623">
        <f>SUM(L13:L15)</f>
        <v>5946.6120000000001</v>
      </c>
      <c r="M12" s="709">
        <f>SUM(M13:M15)</f>
        <v>-22014.457999999999</v>
      </c>
      <c r="N12" s="699">
        <f t="shared" si="6"/>
        <v>-78.73253062203986</v>
      </c>
      <c r="O12" s="623"/>
    </row>
    <row r="13" spans="1:17" ht="15.75" customHeight="1">
      <c r="A13" s="702" t="s">
        <v>19</v>
      </c>
      <c r="B13" s="703" t="s">
        <v>425</v>
      </c>
      <c r="C13" s="704" t="s">
        <v>130</v>
      </c>
      <c r="D13" s="627">
        <v>10352.5</v>
      </c>
      <c r="E13" s="627">
        <f>+D13</f>
        <v>10352.5</v>
      </c>
      <c r="F13" s="627" t="e">
        <f>ROUND(E13*#REF!,2)</f>
        <v>#REF!</v>
      </c>
      <c r="G13" s="706">
        <v>4160.1049999999996</v>
      </c>
      <c r="H13" s="627">
        <v>21944.83</v>
      </c>
      <c r="I13" s="627" t="e">
        <f>ROUND(H13*#REF!,2)</f>
        <v>#REF!</v>
      </c>
      <c r="J13" s="627" t="e">
        <f>F13+I13</f>
        <v>#REF!</v>
      </c>
      <c r="K13" s="344">
        <v>25442.29</v>
      </c>
      <c r="L13" s="346">
        <v>5395.4470000000001</v>
      </c>
      <c r="M13" s="346">
        <f>L13-K13</f>
        <v>-20046.843000000001</v>
      </c>
      <c r="N13" s="699">
        <f t="shared" si="6"/>
        <v>-78.79339084650006</v>
      </c>
      <c r="O13" s="344" t="s">
        <v>579</v>
      </c>
    </row>
    <row r="14" spans="1:17" ht="15.75" customHeight="1">
      <c r="A14" s="702" t="s">
        <v>21</v>
      </c>
      <c r="B14" s="708" t="s">
        <v>127</v>
      </c>
      <c r="C14" s="704" t="s">
        <v>124</v>
      </c>
      <c r="D14" s="627">
        <v>641.1</v>
      </c>
      <c r="E14" s="627">
        <f>+D14</f>
        <v>641.1</v>
      </c>
      <c r="F14" s="627" t="e">
        <f>ROUND(E14*#REF!,2)</f>
        <v>#REF!</v>
      </c>
      <c r="G14" s="706">
        <v>242.12</v>
      </c>
      <c r="H14" s="627">
        <v>1185.02</v>
      </c>
      <c r="I14" s="627" t="e">
        <f>ROUND(H14*#REF!,2)</f>
        <v>#REF!</v>
      </c>
      <c r="J14" s="627" t="e">
        <f>F14+I14</f>
        <v>#REF!</v>
      </c>
      <c r="K14" s="710">
        <v>1373.88</v>
      </c>
      <c r="L14" s="627">
        <v>328.47199999999998</v>
      </c>
      <c r="M14" s="346">
        <f t="shared" ref="M14:M15" si="8">L14-K14</f>
        <v>-1045.4080000000001</v>
      </c>
      <c r="N14" s="699">
        <f t="shared" si="6"/>
        <v>-76.091652837220138</v>
      </c>
      <c r="O14" s="344" t="s">
        <v>579</v>
      </c>
    </row>
    <row r="15" spans="1:17" ht="15.75" customHeight="1">
      <c r="A15" s="702" t="s">
        <v>23</v>
      </c>
      <c r="B15" s="711" t="s">
        <v>128</v>
      </c>
      <c r="C15" s="704" t="s">
        <v>124</v>
      </c>
      <c r="D15" s="627">
        <v>496</v>
      </c>
      <c r="E15" s="627">
        <f>+D15</f>
        <v>496</v>
      </c>
      <c r="F15" s="627" t="e">
        <f>ROUND(E15*#REF!,2)</f>
        <v>#REF!</v>
      </c>
      <c r="G15" s="706">
        <v>156.874</v>
      </c>
      <c r="H15" s="627">
        <v>987.52</v>
      </c>
      <c r="I15" s="627" t="e">
        <f>ROUND(H15*#REF!,2)</f>
        <v>#REF!</v>
      </c>
      <c r="J15" s="627" t="e">
        <f>F15+I15</f>
        <v>#REF!</v>
      </c>
      <c r="K15" s="710">
        <v>1144.9000000000001</v>
      </c>
      <c r="L15" s="627">
        <v>222.69300000000001</v>
      </c>
      <c r="M15" s="346">
        <f t="shared" si="8"/>
        <v>-922.20700000000011</v>
      </c>
      <c r="N15" s="699">
        <f t="shared" si="6"/>
        <v>-80.54913092846536</v>
      </c>
      <c r="O15" s="344" t="s">
        <v>579</v>
      </c>
    </row>
    <row r="16" spans="1:17" s="10" customFormat="1" ht="15.75">
      <c r="A16" s="700">
        <v>3</v>
      </c>
      <c r="B16" s="701" t="s">
        <v>80</v>
      </c>
      <c r="C16" s="698" t="s">
        <v>124</v>
      </c>
      <c r="D16" s="623">
        <v>1157.7</v>
      </c>
      <c r="E16" s="623">
        <f>+D16</f>
        <v>1157.7</v>
      </c>
      <c r="F16" s="623" t="e">
        <f>ROUND(E16*#REF!,2)</f>
        <v>#REF!</v>
      </c>
      <c r="G16" s="712">
        <v>6.2759999999999998</v>
      </c>
      <c r="H16" s="623">
        <v>607.84</v>
      </c>
      <c r="I16" s="623" t="e">
        <f>ROUND(H16*#REF!,2)</f>
        <v>#REF!</v>
      </c>
      <c r="J16" s="623" t="e">
        <f>F16+I16</f>
        <v>#REF!</v>
      </c>
      <c r="K16" s="713">
        <v>763.1</v>
      </c>
      <c r="L16" s="709">
        <v>19.100000000000001</v>
      </c>
      <c r="M16" s="709">
        <f>L16-K16</f>
        <v>-744</v>
      </c>
      <c r="N16" s="699">
        <f t="shared" si="6"/>
        <v>-97.497051500458653</v>
      </c>
      <c r="O16" s="344" t="s">
        <v>579</v>
      </c>
    </row>
    <row r="17" spans="1:15" s="10" customFormat="1" ht="15.75" customHeight="1">
      <c r="A17" s="700">
        <v>4</v>
      </c>
      <c r="B17" s="714" t="s">
        <v>150</v>
      </c>
      <c r="C17" s="698" t="s">
        <v>124</v>
      </c>
      <c r="D17" s="623">
        <v>2500</v>
      </c>
      <c r="E17" s="623">
        <v>1846.06</v>
      </c>
      <c r="F17" s="623" t="e">
        <f>ROUND(E17*#REF!,2)</f>
        <v>#REF!</v>
      </c>
      <c r="G17" s="712">
        <v>87.817999999999998</v>
      </c>
      <c r="H17" s="623">
        <v>2500</v>
      </c>
      <c r="I17" s="623" t="e">
        <f>ROUND(H17*#REF!,2)</f>
        <v>#REF!</v>
      </c>
      <c r="J17" s="623" t="e">
        <f>F17+I17</f>
        <v>#REF!</v>
      </c>
      <c r="K17" s="715">
        <v>2500</v>
      </c>
      <c r="L17" s="623"/>
      <c r="M17" s="709">
        <f>L17-K17</f>
        <v>-2500</v>
      </c>
      <c r="N17" s="699">
        <f t="shared" si="6"/>
        <v>-100</v>
      </c>
      <c r="O17" s="344" t="s">
        <v>579</v>
      </c>
    </row>
    <row r="18" spans="1:15" s="10" customFormat="1" ht="15.75">
      <c r="A18" s="700">
        <v>5</v>
      </c>
      <c r="B18" s="701" t="s">
        <v>129</v>
      </c>
      <c r="C18" s="698" t="s">
        <v>6</v>
      </c>
      <c r="D18" s="623">
        <f t="shared" ref="D18:M18" si="9">SUM(D19:D23)</f>
        <v>720.8</v>
      </c>
      <c r="E18" s="623">
        <f t="shared" si="9"/>
        <v>643.57142857142856</v>
      </c>
      <c r="F18" s="623" t="e">
        <f t="shared" si="9"/>
        <v>#REF!</v>
      </c>
      <c r="G18" s="623">
        <f t="shared" si="9"/>
        <v>49.826000000000001</v>
      </c>
      <c r="H18" s="623">
        <f t="shared" si="9"/>
        <v>1209.53</v>
      </c>
      <c r="I18" s="623" t="e">
        <f t="shared" si="9"/>
        <v>#REF!</v>
      </c>
      <c r="J18" s="623" t="e">
        <f t="shared" si="9"/>
        <v>#REF!</v>
      </c>
      <c r="K18" s="623">
        <f t="shared" si="9"/>
        <v>356.15399999999994</v>
      </c>
      <c r="L18" s="623">
        <f t="shared" si="9"/>
        <v>71.971999999999994</v>
      </c>
      <c r="M18" s="709">
        <f t="shared" si="9"/>
        <v>-284.18199999999996</v>
      </c>
      <c r="N18" s="699">
        <f t="shared" si="6"/>
        <v>-79.79188777888217</v>
      </c>
      <c r="O18" s="623"/>
    </row>
    <row r="19" spans="1:15" s="10" customFormat="1" ht="14.25" customHeight="1">
      <c r="A19" s="702" t="s">
        <v>29</v>
      </c>
      <c r="B19" s="703" t="s">
        <v>30</v>
      </c>
      <c r="C19" s="704" t="s">
        <v>130</v>
      </c>
      <c r="D19" s="627">
        <v>300</v>
      </c>
      <c r="E19" s="627">
        <f>+D19/1.12</f>
        <v>267.85714285714283</v>
      </c>
      <c r="F19" s="627" t="e">
        <f>ROUND(E19*#REF!,2)</f>
        <v>#REF!</v>
      </c>
      <c r="G19" s="712">
        <v>49.826000000000001</v>
      </c>
      <c r="H19" s="627">
        <v>0</v>
      </c>
      <c r="I19" s="627" t="e">
        <f>ROUND(H19*#REF!,2)</f>
        <v>#REF!</v>
      </c>
      <c r="J19" s="627" t="e">
        <f>F19+I19</f>
        <v>#REF!</v>
      </c>
      <c r="K19" s="344">
        <v>127.711</v>
      </c>
      <c r="L19" s="346">
        <f>17.653+0.638+38+8.093</f>
        <v>64.384</v>
      </c>
      <c r="M19" s="346">
        <f>L19-K19</f>
        <v>-63.326999999999998</v>
      </c>
      <c r="N19" s="699">
        <f t="shared" si="6"/>
        <v>-49.586175035823068</v>
      </c>
      <c r="O19" s="344" t="s">
        <v>579</v>
      </c>
    </row>
    <row r="20" spans="1:15" s="10" customFormat="1" ht="14.25" customHeight="1">
      <c r="A20" s="702" t="s">
        <v>31</v>
      </c>
      <c r="B20" s="711" t="s">
        <v>132</v>
      </c>
      <c r="C20" s="716" t="s">
        <v>130</v>
      </c>
      <c r="D20" s="717">
        <v>331</v>
      </c>
      <c r="E20" s="717">
        <f>+D20/1.12</f>
        <v>295.53571428571428</v>
      </c>
      <c r="F20" s="717" t="e">
        <f>ROUND(E20*#REF!,2)</f>
        <v>#REF!</v>
      </c>
      <c r="G20" s="718"/>
      <c r="H20" s="717">
        <v>0</v>
      </c>
      <c r="I20" s="717" t="e">
        <f>ROUND(H20*#REF!,2)</f>
        <v>#REF!</v>
      </c>
      <c r="J20" s="717" t="e">
        <f>F20+I20</f>
        <v>#REF!</v>
      </c>
      <c r="K20" s="344">
        <v>57.680999999999997</v>
      </c>
      <c r="L20" s="346"/>
      <c r="M20" s="346">
        <f t="shared" ref="M20:M23" si="10">L20-K20</f>
        <v>-57.680999999999997</v>
      </c>
      <c r="N20" s="699">
        <f t="shared" si="6"/>
        <v>-100</v>
      </c>
      <c r="O20" s="344" t="s">
        <v>579</v>
      </c>
    </row>
    <row r="21" spans="1:15" s="10" customFormat="1" ht="14.25" customHeight="1">
      <c r="A21" s="702" t="s">
        <v>33</v>
      </c>
      <c r="B21" s="711" t="s">
        <v>403</v>
      </c>
      <c r="C21" s="704" t="s">
        <v>130</v>
      </c>
      <c r="D21" s="627">
        <v>32</v>
      </c>
      <c r="E21" s="627">
        <f>+D21/1.12</f>
        <v>28.571428571428569</v>
      </c>
      <c r="F21" s="627" t="e">
        <f>ROUND(E21*#REF!,2)</f>
        <v>#REF!</v>
      </c>
      <c r="G21" s="706"/>
      <c r="H21" s="627">
        <v>1166.49</v>
      </c>
      <c r="I21" s="627" t="e">
        <f>ROUND(H21*#REF!,2)</f>
        <v>#REF!</v>
      </c>
      <c r="J21" s="627" t="e">
        <f>F21+I21</f>
        <v>#REF!</v>
      </c>
      <c r="K21" s="344">
        <v>4.4509999999999996</v>
      </c>
      <c r="L21" s="346">
        <v>7.5880000000000001</v>
      </c>
      <c r="M21" s="346">
        <f t="shared" si="10"/>
        <v>3.1370000000000005</v>
      </c>
      <c r="N21" s="699">
        <f t="shared" si="6"/>
        <v>70.478544147382621</v>
      </c>
      <c r="O21" s="344" t="s">
        <v>579</v>
      </c>
    </row>
    <row r="22" spans="1:15" s="10" customFormat="1" ht="14.25" customHeight="1">
      <c r="A22" s="702" t="s">
        <v>35</v>
      </c>
      <c r="B22" s="703" t="s">
        <v>427</v>
      </c>
      <c r="C22" s="704" t="s">
        <v>124</v>
      </c>
      <c r="D22" s="627"/>
      <c r="E22" s="627"/>
      <c r="F22" s="627"/>
      <c r="G22" s="712"/>
      <c r="H22" s="627"/>
      <c r="I22" s="627"/>
      <c r="J22" s="627"/>
      <c r="K22" s="344">
        <v>120</v>
      </c>
      <c r="L22" s="346"/>
      <c r="M22" s="346">
        <f t="shared" si="10"/>
        <v>-120</v>
      </c>
      <c r="N22" s="699">
        <f t="shared" si="6"/>
        <v>-100</v>
      </c>
      <c r="O22" s="344" t="s">
        <v>579</v>
      </c>
    </row>
    <row r="23" spans="1:15" s="10" customFormat="1" ht="14.25" customHeight="1">
      <c r="A23" s="702" t="s">
        <v>36</v>
      </c>
      <c r="B23" s="703" t="s">
        <v>148</v>
      </c>
      <c r="C23" s="704" t="s">
        <v>130</v>
      </c>
      <c r="D23" s="627">
        <v>57.8</v>
      </c>
      <c r="E23" s="627">
        <f>+D23/1.12</f>
        <v>51.607142857142847</v>
      </c>
      <c r="F23" s="627" t="e">
        <f>ROUND(E23*#REF!,2)</f>
        <v>#REF!</v>
      </c>
      <c r="G23" s="712"/>
      <c r="H23" s="627">
        <v>43.04</v>
      </c>
      <c r="I23" s="627" t="e">
        <f>ROUND(H23*#REF!,2)</f>
        <v>#REF!</v>
      </c>
      <c r="J23" s="627" t="e">
        <f t="shared" ref="J23" si="11">F23+I23</f>
        <v>#REF!</v>
      </c>
      <c r="K23" s="344">
        <v>46.311</v>
      </c>
      <c r="L23" s="346"/>
      <c r="M23" s="346">
        <f t="shared" si="10"/>
        <v>-46.311</v>
      </c>
      <c r="N23" s="699">
        <f t="shared" si="6"/>
        <v>-100</v>
      </c>
      <c r="O23" s="344" t="s">
        <v>579</v>
      </c>
    </row>
    <row r="24" spans="1:15" s="11" customFormat="1" ht="15" customHeight="1">
      <c r="A24" s="426" t="s">
        <v>82</v>
      </c>
      <c r="B24" s="127" t="s">
        <v>428</v>
      </c>
      <c r="C24" s="130" t="s">
        <v>130</v>
      </c>
      <c r="D24" s="622" t="e">
        <f>#REF!+D29+D35</f>
        <v>#REF!</v>
      </c>
      <c r="E24" s="622" t="e">
        <f>#REF!+E29+E35</f>
        <v>#REF!</v>
      </c>
      <c r="F24" s="622" t="e">
        <f>#REF!+F29+F35</f>
        <v>#REF!</v>
      </c>
      <c r="G24" s="622" t="e">
        <f>#REF!+G29+G35+#REF!</f>
        <v>#REF!</v>
      </c>
      <c r="H24" s="622" t="e">
        <f>#REF!+H29+H35</f>
        <v>#REF!</v>
      </c>
      <c r="I24" s="622" t="e">
        <f>#REF!+I29+I35</f>
        <v>#REF!</v>
      </c>
      <c r="J24" s="622" t="e">
        <f>#REF!+J29+J35</f>
        <v>#REF!</v>
      </c>
      <c r="K24" s="622">
        <f>K25+K29+K35</f>
        <v>7734.4610000000011</v>
      </c>
      <c r="L24" s="623">
        <f>L25+L29+L35</f>
        <v>2949.7910000000006</v>
      </c>
      <c r="M24" s="623">
        <f>M25+M29+M35</f>
        <v>-4791.4179999999997</v>
      </c>
      <c r="N24" s="699">
        <f t="shared" si="6"/>
        <v>-61.861712147750175</v>
      </c>
      <c r="O24" s="623"/>
    </row>
    <row r="25" spans="1:15" s="11" customFormat="1" ht="15.75">
      <c r="A25" s="719">
        <v>6</v>
      </c>
      <c r="B25" s="561" t="s">
        <v>160</v>
      </c>
      <c r="C25" s="720" t="s">
        <v>6</v>
      </c>
      <c r="D25" s="623" t="e">
        <f>#REF!+D29+D35</f>
        <v>#REF!</v>
      </c>
      <c r="E25" s="623" t="e">
        <f>#REF!+E29+E35</f>
        <v>#REF!</v>
      </c>
      <c r="F25" s="623" t="e">
        <f>#REF!+F29+F35</f>
        <v>#REF!</v>
      </c>
      <c r="G25" s="623" t="e">
        <f>#REF!+G29+G35+#REF!</f>
        <v>#REF!</v>
      </c>
      <c r="H25" s="623" t="e">
        <f>#REF!+H29+H35</f>
        <v>#REF!</v>
      </c>
      <c r="I25" s="623" t="e">
        <f>#REF!+I29+I35</f>
        <v>#REF!</v>
      </c>
      <c r="J25" s="623" t="e">
        <f>#REF!+J29+J35</f>
        <v>#REF!</v>
      </c>
      <c r="K25" s="623">
        <f>SUM(K26:K28)</f>
        <v>6330.7100000000009</v>
      </c>
      <c r="L25" s="623">
        <f>SUM(L26:L28)</f>
        <v>2887.5560000000005</v>
      </c>
      <c r="M25" s="623">
        <f>SUM(M26:M28)</f>
        <v>-3443.154</v>
      </c>
      <c r="N25" s="699">
        <f t="shared" si="6"/>
        <v>-54.388117604502497</v>
      </c>
      <c r="O25" s="623"/>
    </row>
    <row r="26" spans="1:15" s="11" customFormat="1" ht="15.75">
      <c r="A26" s="503" t="s">
        <v>44</v>
      </c>
      <c r="B26" s="721" t="s">
        <v>162</v>
      </c>
      <c r="C26" s="722" t="s">
        <v>6</v>
      </c>
      <c r="D26" s="627">
        <v>4917</v>
      </c>
      <c r="E26" s="627">
        <f>+D26</f>
        <v>4917</v>
      </c>
      <c r="F26" s="627" t="e">
        <f>ROUND(E26*#REF!,2)</f>
        <v>#REF!</v>
      </c>
      <c r="G26" s="133">
        <v>1688.5</v>
      </c>
      <c r="H26" s="627">
        <v>5760.43</v>
      </c>
      <c r="I26" s="627" t="e">
        <f>ROUND(H26*#REF!,2)</f>
        <v>#REF!</v>
      </c>
      <c r="J26" s="627" t="e">
        <f>F26+I26</f>
        <v>#REF!</v>
      </c>
      <c r="K26" s="345">
        <v>5760.43</v>
      </c>
      <c r="L26" s="346">
        <v>2620.3580000000002</v>
      </c>
      <c r="M26" s="346">
        <f>L26-K26</f>
        <v>-3140.0720000000001</v>
      </c>
      <c r="N26" s="699">
        <f t="shared" si="6"/>
        <v>-54.511069486132115</v>
      </c>
      <c r="O26" s="345" t="s">
        <v>579</v>
      </c>
    </row>
    <row r="27" spans="1:15" s="11" customFormat="1" ht="15.75" customHeight="1">
      <c r="A27" s="503" t="s">
        <v>47</v>
      </c>
      <c r="B27" s="721" t="s">
        <v>163</v>
      </c>
      <c r="C27" s="722" t="s">
        <v>6</v>
      </c>
      <c r="D27" s="627">
        <v>306</v>
      </c>
      <c r="E27" s="627">
        <f>+D27</f>
        <v>306</v>
      </c>
      <c r="F27" s="627" t="e">
        <f>ROUND(E27*#REF!,2)</f>
        <v>#REF!</v>
      </c>
      <c r="G27" s="133">
        <v>103.107</v>
      </c>
      <c r="H27" s="627">
        <v>311.06</v>
      </c>
      <c r="I27" s="627" t="e">
        <f>ROUND(H27*#REF!,2)</f>
        <v>#REF!</v>
      </c>
      <c r="J27" s="627" t="e">
        <f>F27+I27</f>
        <v>#REF!</v>
      </c>
      <c r="K27" s="626">
        <v>311.06</v>
      </c>
      <c r="L27" s="627">
        <v>163.322</v>
      </c>
      <c r="M27" s="346">
        <f t="shared" ref="M27:M28" si="12">L27-K27</f>
        <v>-147.738</v>
      </c>
      <c r="N27" s="699">
        <f t="shared" si="6"/>
        <v>-47.495017038513467</v>
      </c>
      <c r="O27" s="345" t="s">
        <v>579</v>
      </c>
    </row>
    <row r="28" spans="1:15" s="11" customFormat="1" ht="15.75" customHeight="1">
      <c r="A28" s="503" t="s">
        <v>48</v>
      </c>
      <c r="B28" s="721" t="s">
        <v>128</v>
      </c>
      <c r="C28" s="722" t="s">
        <v>6</v>
      </c>
      <c r="D28" s="627">
        <v>178</v>
      </c>
      <c r="E28" s="627">
        <f>+D28</f>
        <v>178</v>
      </c>
      <c r="F28" s="627" t="e">
        <f>ROUND(E28*#REF!,2)</f>
        <v>#REF!</v>
      </c>
      <c r="G28" s="133">
        <v>66.397999999999996</v>
      </c>
      <c r="H28" s="627">
        <v>259.22000000000003</v>
      </c>
      <c r="I28" s="627" t="e">
        <f>ROUND(H28*#REF!,2)</f>
        <v>#REF!</v>
      </c>
      <c r="J28" s="627" t="e">
        <f>F28+I28</f>
        <v>#REF!</v>
      </c>
      <c r="K28" s="626">
        <v>259.22000000000003</v>
      </c>
      <c r="L28" s="627">
        <v>103.876</v>
      </c>
      <c r="M28" s="346">
        <f t="shared" si="12"/>
        <v>-155.34400000000002</v>
      </c>
      <c r="N28" s="699">
        <f t="shared" si="6"/>
        <v>-59.927474731887976</v>
      </c>
      <c r="O28" s="345" t="s">
        <v>579</v>
      </c>
    </row>
    <row r="29" spans="1:15" s="11" customFormat="1" ht="29.25" customHeight="1">
      <c r="A29" s="502" t="s">
        <v>118</v>
      </c>
      <c r="B29" s="561" t="s">
        <v>164</v>
      </c>
      <c r="C29" s="720" t="s">
        <v>6</v>
      </c>
      <c r="D29" s="623">
        <f>SUM(D30:D34)</f>
        <v>0</v>
      </c>
      <c r="E29" s="623">
        <f>SUM(E30:E34)</f>
        <v>0</v>
      </c>
      <c r="F29" s="623">
        <f>SUM(F30:F34)</f>
        <v>0</v>
      </c>
      <c r="G29" s="623">
        <f>G30+G31+G32+G34</f>
        <v>1477.1310000000001</v>
      </c>
      <c r="H29" s="623">
        <f>SUM(H30:H34)</f>
        <v>1668.1500000000003</v>
      </c>
      <c r="I29" s="623" t="e">
        <f>SUM(I30:I34)</f>
        <v>#REF!</v>
      </c>
      <c r="J29" s="623" t="e">
        <f>SUM(J30:J34)</f>
        <v>#REF!</v>
      </c>
      <c r="K29" s="623">
        <f>SUM(K30:K34)</f>
        <v>1193.7600000000002</v>
      </c>
      <c r="L29" s="623">
        <f>SUM(L30:L34)</f>
        <v>33.542000000000002</v>
      </c>
      <c r="M29" s="346">
        <f t="shared" ref="M29" si="13">SUM(M30:M34)</f>
        <v>-1166.9660000000001</v>
      </c>
      <c r="N29" s="699">
        <f t="shared" si="6"/>
        <v>-97.190222490282807</v>
      </c>
      <c r="O29" s="623"/>
    </row>
    <row r="30" spans="1:15" ht="18" customHeight="1">
      <c r="A30" s="503" t="s">
        <v>120</v>
      </c>
      <c r="B30" s="721" t="s">
        <v>51</v>
      </c>
      <c r="C30" s="722" t="s">
        <v>6</v>
      </c>
      <c r="D30" s="627"/>
      <c r="E30" s="627"/>
      <c r="F30" s="627"/>
      <c r="G30" s="706">
        <v>1438.567</v>
      </c>
      <c r="H30" s="627">
        <v>1615.22</v>
      </c>
      <c r="I30" s="627" t="e">
        <f>ROUND(H30*#REF!,2)</f>
        <v>#REF!</v>
      </c>
      <c r="J30" s="627" t="e">
        <f>F30+I30</f>
        <v>#REF!</v>
      </c>
      <c r="K30" s="344">
        <v>1132.25</v>
      </c>
      <c r="L30" s="346">
        <v>20.074000000000002</v>
      </c>
      <c r="M30" s="346">
        <f>L30-K30</f>
        <v>-1112.1759999999999</v>
      </c>
      <c r="N30" s="699">
        <f t="shared" si="6"/>
        <v>-98.22706999337602</v>
      </c>
      <c r="O30" s="344" t="s">
        <v>579</v>
      </c>
    </row>
    <row r="31" spans="1:15" s="11" customFormat="1" ht="16.5" customHeight="1">
      <c r="A31" s="811" t="s">
        <v>121</v>
      </c>
      <c r="B31" s="812" t="s">
        <v>34</v>
      </c>
      <c r="C31" s="813" t="s">
        <v>124</v>
      </c>
      <c r="D31" s="814"/>
      <c r="E31" s="814"/>
      <c r="F31" s="814"/>
      <c r="G31" s="815">
        <v>4.516</v>
      </c>
      <c r="H31" s="814">
        <v>15.63</v>
      </c>
      <c r="I31" s="814" t="e">
        <f>ROUND(H31*#REF!,2)</f>
        <v>#REF!</v>
      </c>
      <c r="J31" s="814" t="e">
        <f>F31+I31</f>
        <v>#REF!</v>
      </c>
      <c r="K31" s="772">
        <v>22.88</v>
      </c>
      <c r="L31" s="814">
        <v>6.72</v>
      </c>
      <c r="M31" s="814">
        <f t="shared" ref="M31:M34" si="14">L31-K31</f>
        <v>-16.16</v>
      </c>
      <c r="N31" s="816">
        <f t="shared" si="6"/>
        <v>-70.629370629370626</v>
      </c>
      <c r="O31" s="344" t="s">
        <v>579</v>
      </c>
    </row>
    <row r="32" spans="1:15" s="11" customFormat="1" ht="15.75">
      <c r="A32" s="503" t="s">
        <v>220</v>
      </c>
      <c r="B32" s="721" t="s">
        <v>52</v>
      </c>
      <c r="C32" s="722" t="s">
        <v>6</v>
      </c>
      <c r="D32" s="627"/>
      <c r="E32" s="627"/>
      <c r="F32" s="627"/>
      <c r="G32" s="133"/>
      <c r="H32" s="627">
        <v>11.91</v>
      </c>
      <c r="I32" s="627" t="e">
        <f>ROUND(H32*#REF!,2)</f>
        <v>#REF!</v>
      </c>
      <c r="J32" s="627" t="e">
        <f>F32+I32</f>
        <v>#REF!</v>
      </c>
      <c r="K32" s="344">
        <v>11.91</v>
      </c>
      <c r="L32" s="346"/>
      <c r="M32" s="346">
        <f t="shared" si="14"/>
        <v>-11.91</v>
      </c>
      <c r="N32" s="699">
        <f t="shared" si="6"/>
        <v>-100</v>
      </c>
      <c r="O32" s="344" t="s">
        <v>579</v>
      </c>
    </row>
    <row r="33" spans="1:16" s="11" customFormat="1" ht="31.5">
      <c r="A33" s="503" t="s">
        <v>222</v>
      </c>
      <c r="B33" s="721" t="s">
        <v>410</v>
      </c>
      <c r="C33" s="722" t="s">
        <v>6</v>
      </c>
      <c r="D33" s="627"/>
      <c r="E33" s="627"/>
      <c r="F33" s="627"/>
      <c r="G33" s="133"/>
      <c r="H33" s="627"/>
      <c r="I33" s="627"/>
      <c r="J33" s="627"/>
      <c r="K33" s="344"/>
      <c r="L33" s="814">
        <v>6.7480000000000002</v>
      </c>
      <c r="M33" s="814"/>
      <c r="N33" s="816"/>
      <c r="O33" s="344" t="s">
        <v>579</v>
      </c>
    </row>
    <row r="34" spans="1:16" s="10" customFormat="1" ht="14.25" customHeight="1">
      <c r="A34" s="503" t="s">
        <v>224</v>
      </c>
      <c r="B34" s="721" t="s">
        <v>479</v>
      </c>
      <c r="C34" s="722" t="s">
        <v>6</v>
      </c>
      <c r="D34" s="627"/>
      <c r="E34" s="627"/>
      <c r="F34" s="627"/>
      <c r="G34" s="712">
        <v>34.048000000000002</v>
      </c>
      <c r="H34" s="627">
        <v>25.39</v>
      </c>
      <c r="I34" s="627" t="e">
        <f>ROUND(H34*#REF!,2)</f>
        <v>#REF!</v>
      </c>
      <c r="J34" s="627" t="e">
        <f>F34+I34</f>
        <v>#REF!</v>
      </c>
      <c r="K34" s="344">
        <v>26.72</v>
      </c>
      <c r="L34" s="346"/>
      <c r="M34" s="346">
        <f t="shared" si="14"/>
        <v>-26.72</v>
      </c>
      <c r="N34" s="699">
        <f t="shared" si="6"/>
        <v>-100</v>
      </c>
      <c r="O34" s="344" t="s">
        <v>579</v>
      </c>
    </row>
    <row r="35" spans="1:16" ht="17.25" customHeight="1">
      <c r="A35" s="723" t="s">
        <v>299</v>
      </c>
      <c r="B35" s="724" t="s">
        <v>133</v>
      </c>
      <c r="C35" s="698" t="s">
        <v>124</v>
      </c>
      <c r="D35" s="725">
        <f>SUM(D36:D40)</f>
        <v>370</v>
      </c>
      <c r="E35" s="725">
        <f>SUM(E36:E40)</f>
        <v>178.21428571428572</v>
      </c>
      <c r="F35" s="725" t="e">
        <f>SUM(F36:F40)</f>
        <v>#REF!</v>
      </c>
      <c r="G35" s="725" t="e">
        <f>G38+#REF!+#REF!+#REF!</f>
        <v>#REF!</v>
      </c>
      <c r="H35" s="725">
        <f t="shared" ref="H35:K35" si="15">SUM(H36:H40)</f>
        <v>379.53</v>
      </c>
      <c r="I35" s="725" t="e">
        <f t="shared" si="15"/>
        <v>#REF!</v>
      </c>
      <c r="J35" s="725" t="e">
        <f t="shared" si="15"/>
        <v>#REF!</v>
      </c>
      <c r="K35" s="725">
        <f t="shared" si="15"/>
        <v>209.99100000000001</v>
      </c>
      <c r="L35" s="725">
        <f>SUM(L36:L40)</f>
        <v>28.692999999999998</v>
      </c>
      <c r="M35" s="346">
        <f>SUM(M36:M40)</f>
        <v>-181.298</v>
      </c>
      <c r="N35" s="699">
        <f t="shared" si="6"/>
        <v>-86.336081070141105</v>
      </c>
      <c r="O35" s="725"/>
    </row>
    <row r="36" spans="1:16" ht="16.5" customHeight="1">
      <c r="A36" s="702" t="s">
        <v>300</v>
      </c>
      <c r="B36" s="708" t="s">
        <v>231</v>
      </c>
      <c r="C36" s="704" t="s">
        <v>124</v>
      </c>
      <c r="D36" s="627">
        <v>180</v>
      </c>
      <c r="E36" s="627"/>
      <c r="F36" s="627" t="e">
        <f>ROUND(E36*#REF!,2)</f>
        <v>#REF!</v>
      </c>
      <c r="G36" s="706"/>
      <c r="H36" s="627">
        <v>0</v>
      </c>
      <c r="I36" s="627" t="e">
        <f>ROUND(H36*#REF!,2)</f>
        <v>#REF!</v>
      </c>
      <c r="J36" s="627" t="e">
        <f>F36+I36</f>
        <v>#REF!</v>
      </c>
      <c r="K36" s="344">
        <v>81.95</v>
      </c>
      <c r="L36" s="346">
        <v>1.45</v>
      </c>
      <c r="M36" s="346">
        <f>L36-K36</f>
        <v>-80.5</v>
      </c>
      <c r="N36" s="699">
        <f t="shared" si="6"/>
        <v>-98.230628431970715</v>
      </c>
      <c r="O36" s="344" t="s">
        <v>579</v>
      </c>
    </row>
    <row r="37" spans="1:16" ht="15.75">
      <c r="A37" s="702" t="s">
        <v>301</v>
      </c>
      <c r="B37" s="711" t="s">
        <v>432</v>
      </c>
      <c r="C37" s="704" t="s">
        <v>124</v>
      </c>
      <c r="D37" s="627">
        <v>110</v>
      </c>
      <c r="E37" s="627">
        <f>110/1.12</f>
        <v>98.214285714285708</v>
      </c>
      <c r="F37" s="627" t="e">
        <f>ROUND(E37*#REF!,2)</f>
        <v>#REF!</v>
      </c>
      <c r="G37" s="706"/>
      <c r="H37" s="627">
        <v>24.64</v>
      </c>
      <c r="I37" s="627" t="e">
        <f>ROUND(H37*#REF!,2)</f>
        <v>#REF!</v>
      </c>
      <c r="J37" s="627" t="e">
        <f t="shared" ref="J37:J40" si="16">F37+I37</f>
        <v>#REF!</v>
      </c>
      <c r="K37" s="344">
        <v>14.01</v>
      </c>
      <c r="L37" s="346"/>
      <c r="M37" s="346">
        <f>L37-K37</f>
        <v>-14.01</v>
      </c>
      <c r="N37" s="699">
        <f t="shared" si="6"/>
        <v>-100</v>
      </c>
      <c r="O37" s="344" t="s">
        <v>579</v>
      </c>
    </row>
    <row r="38" spans="1:16" ht="15.75">
      <c r="A38" s="702" t="s">
        <v>382</v>
      </c>
      <c r="B38" s="711" t="s">
        <v>55</v>
      </c>
      <c r="C38" s="704" t="s">
        <v>124</v>
      </c>
      <c r="D38" s="627">
        <v>80</v>
      </c>
      <c r="E38" s="627">
        <f>+D38</f>
        <v>80</v>
      </c>
      <c r="F38" s="627" t="e">
        <f>ROUND(E38*#REF!,2)</f>
        <v>#REF!</v>
      </c>
      <c r="G38" s="706">
        <v>3.77</v>
      </c>
      <c r="H38" s="627">
        <v>90.48</v>
      </c>
      <c r="I38" s="627" t="e">
        <f>ROUND(H38*#REF!,2)</f>
        <v>#REF!</v>
      </c>
      <c r="J38" s="627" t="e">
        <f t="shared" si="16"/>
        <v>#REF!</v>
      </c>
      <c r="K38" s="344">
        <v>87.49</v>
      </c>
      <c r="L38" s="346">
        <f>24.673-0.63</f>
        <v>24.042999999999999</v>
      </c>
      <c r="M38" s="346">
        <f t="shared" ref="M38" si="17">L38-K38</f>
        <v>-63.446999999999996</v>
      </c>
      <c r="N38" s="699">
        <f t="shared" si="6"/>
        <v>-72.519145045148008</v>
      </c>
      <c r="O38" s="344" t="s">
        <v>579</v>
      </c>
    </row>
    <row r="39" spans="1:16" ht="31.5">
      <c r="A39" s="702" t="s">
        <v>383</v>
      </c>
      <c r="B39" s="711" t="s">
        <v>545</v>
      </c>
      <c r="C39" s="704" t="s">
        <v>124</v>
      </c>
      <c r="D39" s="627"/>
      <c r="E39" s="627"/>
      <c r="F39" s="627" t="e">
        <f>ROUND(E39*#REF!,2)</f>
        <v>#REF!</v>
      </c>
      <c r="G39" s="706"/>
      <c r="H39" s="627">
        <v>185.41</v>
      </c>
      <c r="I39" s="627" t="e">
        <f>ROUND(H39*#REF!,2)</f>
        <v>#REF!</v>
      </c>
      <c r="J39" s="627" t="e">
        <f t="shared" si="16"/>
        <v>#REF!</v>
      </c>
      <c r="K39" s="344">
        <v>17.86</v>
      </c>
      <c r="L39" s="346">
        <v>3.2</v>
      </c>
      <c r="M39" s="346">
        <f>L39-K39</f>
        <v>-14.66</v>
      </c>
      <c r="N39" s="699">
        <f t="shared" si="6"/>
        <v>-82.082866741321382</v>
      </c>
      <c r="O39" s="344" t="s">
        <v>579</v>
      </c>
    </row>
    <row r="40" spans="1:16" ht="32.25" customHeight="1">
      <c r="A40" s="702" t="s">
        <v>384</v>
      </c>
      <c r="B40" s="708" t="s">
        <v>433</v>
      </c>
      <c r="C40" s="704" t="s">
        <v>124</v>
      </c>
      <c r="D40" s="627"/>
      <c r="E40" s="627"/>
      <c r="F40" s="627" t="e">
        <f>ROUND(E40*#REF!,2)</f>
        <v>#REF!</v>
      </c>
      <c r="G40" s="706"/>
      <c r="H40" s="627">
        <v>79</v>
      </c>
      <c r="I40" s="627" t="e">
        <f>ROUND(H40*#REF!,2)</f>
        <v>#REF!</v>
      </c>
      <c r="J40" s="627" t="e">
        <f t="shared" si="16"/>
        <v>#REF!</v>
      </c>
      <c r="K40" s="710">
        <v>8.6809999999999992</v>
      </c>
      <c r="L40" s="627"/>
      <c r="M40" s="346">
        <f>L40-K40</f>
        <v>-8.6809999999999992</v>
      </c>
      <c r="N40" s="699">
        <f t="shared" si="6"/>
        <v>-100</v>
      </c>
      <c r="O40" s="344" t="s">
        <v>579</v>
      </c>
    </row>
    <row r="41" spans="1:16" s="10" customFormat="1" ht="33" customHeight="1">
      <c r="A41" s="719" t="s">
        <v>135</v>
      </c>
      <c r="B41" s="701" t="s">
        <v>175</v>
      </c>
      <c r="C41" s="698" t="s">
        <v>130</v>
      </c>
      <c r="D41" s="623" t="e">
        <f t="shared" ref="D41:M41" si="18">D5+D24</f>
        <v>#REF!</v>
      </c>
      <c r="E41" s="623" t="e">
        <f t="shared" si="18"/>
        <v>#REF!</v>
      </c>
      <c r="F41" s="623" t="e">
        <f t="shared" si="18"/>
        <v>#REF!</v>
      </c>
      <c r="G41" s="713" t="e">
        <f t="shared" si="18"/>
        <v>#REF!</v>
      </c>
      <c r="H41" s="623" t="e">
        <f t="shared" si="18"/>
        <v>#REF!</v>
      </c>
      <c r="I41" s="623" t="e">
        <f t="shared" si="18"/>
        <v>#REF!</v>
      </c>
      <c r="J41" s="623" t="e">
        <f t="shared" si="18"/>
        <v>#REF!</v>
      </c>
      <c r="K41" s="622">
        <f>K5+K24</f>
        <v>41028.188000000009</v>
      </c>
      <c r="L41" s="623">
        <f t="shared" si="18"/>
        <v>9107.6350000000002</v>
      </c>
      <c r="M41" s="391">
        <f t="shared" si="18"/>
        <v>-31947.324999999997</v>
      </c>
      <c r="N41" s="699">
        <f t="shared" si="6"/>
        <v>-77.801517824769647</v>
      </c>
      <c r="O41" s="623"/>
      <c r="P41" s="323"/>
    </row>
    <row r="42" spans="1:16" s="10" customFormat="1" ht="17.25" customHeight="1">
      <c r="A42" s="719" t="s">
        <v>63</v>
      </c>
      <c r="B42" s="714" t="s">
        <v>88</v>
      </c>
      <c r="C42" s="698" t="s">
        <v>6</v>
      </c>
      <c r="D42" s="623">
        <v>521</v>
      </c>
      <c r="E42" s="623">
        <v>0</v>
      </c>
      <c r="F42" s="623"/>
      <c r="G42" s="726" t="e">
        <f>G43-G41</f>
        <v>#REF!</v>
      </c>
      <c r="H42" s="727">
        <v>0</v>
      </c>
      <c r="I42" s="728" t="e">
        <f>+I43-I41</f>
        <v>#REF!</v>
      </c>
      <c r="J42" s="728" t="e">
        <f>+J43-J41</f>
        <v>#REF!</v>
      </c>
      <c r="K42" s="344">
        <f>+K43-K41</f>
        <v>1.999999993131496E-3</v>
      </c>
      <c r="L42" s="346">
        <f>L43-L41</f>
        <v>-8919.5925999999999</v>
      </c>
      <c r="M42" s="712"/>
      <c r="N42" s="729"/>
      <c r="O42" s="713"/>
      <c r="P42" s="323"/>
    </row>
    <row r="43" spans="1:16" s="10" customFormat="1" ht="15.75" customHeight="1">
      <c r="A43" s="700" t="s">
        <v>68</v>
      </c>
      <c r="B43" s="730" t="s">
        <v>176</v>
      </c>
      <c r="C43" s="698" t="s">
        <v>6</v>
      </c>
      <c r="D43" s="623" t="e">
        <f>+D41+D42</f>
        <v>#REF!</v>
      </c>
      <c r="E43" s="623" t="e">
        <f>+E41+E42</f>
        <v>#REF!</v>
      </c>
      <c r="F43" s="623" t="e">
        <f>F44*F47</f>
        <v>#REF!</v>
      </c>
      <c r="G43" s="713" t="e">
        <f>F43</f>
        <v>#REF!</v>
      </c>
      <c r="H43" s="623" t="e">
        <f>+H41+H42</f>
        <v>#REF!</v>
      </c>
      <c r="I43" s="623">
        <f>+I44*0.41</f>
        <v>20671.618620000001</v>
      </c>
      <c r="J43" s="623" t="e">
        <f>F43+I43</f>
        <v>#REF!</v>
      </c>
      <c r="K43" s="622">
        <v>41028.19</v>
      </c>
      <c r="L43" s="623">
        <f>L44*L47</f>
        <v>188.04239999999999</v>
      </c>
      <c r="M43" s="712"/>
      <c r="N43" s="729"/>
      <c r="O43" s="713"/>
      <c r="P43" s="13"/>
    </row>
    <row r="44" spans="1:16" s="10" customFormat="1" ht="15.75" customHeight="1">
      <c r="A44" s="700" t="s">
        <v>69</v>
      </c>
      <c r="B44" s="701" t="s">
        <v>438</v>
      </c>
      <c r="C44" s="698" t="s">
        <v>97</v>
      </c>
      <c r="D44" s="731">
        <v>92456</v>
      </c>
      <c r="E44" s="731">
        <v>92456</v>
      </c>
      <c r="F44" s="732" t="e">
        <f>#REF!</f>
        <v>#REF!</v>
      </c>
      <c r="G44" s="713" t="e">
        <f>F44</f>
        <v>#REF!</v>
      </c>
      <c r="H44" s="731">
        <v>93534</v>
      </c>
      <c r="I44" s="623">
        <f>50418.582</f>
        <v>50418.582000000002</v>
      </c>
      <c r="J44" s="623" t="e">
        <f>F44+I44</f>
        <v>#REF!</v>
      </c>
      <c r="K44" s="733">
        <v>93534</v>
      </c>
      <c r="L44" s="659">
        <v>458.64</v>
      </c>
      <c r="M44" s="712"/>
      <c r="N44" s="729"/>
      <c r="O44" s="713"/>
    </row>
    <row r="45" spans="1:16" ht="15" customHeight="1">
      <c r="A45" s="946" t="s">
        <v>177</v>
      </c>
      <c r="B45" s="947" t="s">
        <v>156</v>
      </c>
      <c r="C45" s="698" t="s">
        <v>157</v>
      </c>
      <c r="D45" s="734">
        <v>26.5</v>
      </c>
      <c r="E45" s="734">
        <v>26.5</v>
      </c>
      <c r="F45" s="734">
        <v>26.5</v>
      </c>
      <c r="G45" s="706"/>
      <c r="H45" s="735">
        <v>24</v>
      </c>
      <c r="I45" s="736">
        <v>24</v>
      </c>
      <c r="J45" s="737" t="s">
        <v>439</v>
      </c>
      <c r="K45" s="712">
        <v>24</v>
      </c>
      <c r="L45" s="738">
        <v>21</v>
      </c>
      <c r="M45" s="238"/>
      <c r="N45" s="699"/>
      <c r="O45" s="344"/>
    </row>
    <row r="46" spans="1:16" ht="15" customHeight="1">
      <c r="A46" s="946"/>
      <c r="B46" s="947"/>
      <c r="C46" s="698" t="s">
        <v>97</v>
      </c>
      <c r="D46" s="731">
        <f>'[4]Расчет на водопольз'!D8-D44</f>
        <v>32143.455000000002</v>
      </c>
      <c r="E46" s="731"/>
      <c r="F46" s="731" t="e">
        <f>F44/0.735-F44</f>
        <v>#REF!</v>
      </c>
      <c r="G46" s="706"/>
      <c r="H46" s="709">
        <v>29537.05</v>
      </c>
      <c r="I46" s="709">
        <f>I44/0.76-I44</f>
        <v>15921.657473684209</v>
      </c>
      <c r="J46" s="709" t="e">
        <f>F46+I46</f>
        <v>#REF!</v>
      </c>
      <c r="K46" s="713">
        <v>29537.05</v>
      </c>
      <c r="L46" s="659">
        <v>121.55</v>
      </c>
      <c r="M46" s="238"/>
      <c r="N46" s="699"/>
      <c r="O46" s="344"/>
    </row>
    <row r="47" spans="1:16" ht="15.75">
      <c r="A47" s="700" t="s">
        <v>139</v>
      </c>
      <c r="B47" s="739" t="s">
        <v>166</v>
      </c>
      <c r="C47" s="698" t="s">
        <v>99</v>
      </c>
      <c r="D47" s="740" t="e">
        <f>+D43/D44</f>
        <v>#REF!</v>
      </c>
      <c r="E47" s="740" t="e">
        <f>+E43/E44</f>
        <v>#REF!</v>
      </c>
      <c r="F47" s="740">
        <v>0.27600000000000002</v>
      </c>
      <c r="G47" s="740">
        <v>0.27600000000000002</v>
      </c>
      <c r="H47" s="741" t="e">
        <f>+H43/H44</f>
        <v>#REF!</v>
      </c>
      <c r="I47" s="741">
        <v>0.41</v>
      </c>
      <c r="J47" s="741" t="s">
        <v>440</v>
      </c>
      <c r="K47" s="742">
        <v>0.439</v>
      </c>
      <c r="L47" s="742">
        <v>0.41</v>
      </c>
      <c r="M47" s="238"/>
      <c r="N47" s="699"/>
      <c r="O47" s="344"/>
    </row>
    <row r="48" spans="1:16" ht="15.75">
      <c r="A48" s="707"/>
      <c r="B48" s="743" t="s">
        <v>100</v>
      </c>
      <c r="C48" s="707"/>
      <c r="D48" s="707"/>
      <c r="E48" s="707"/>
      <c r="F48" s="707"/>
      <c r="G48" s="238"/>
      <c r="H48" s="744"/>
      <c r="I48" s="744"/>
      <c r="J48" s="744"/>
      <c r="K48" s="238"/>
      <c r="L48" s="346"/>
      <c r="M48" s="238"/>
      <c r="N48" s="699"/>
      <c r="O48" s="344"/>
    </row>
    <row r="49" spans="1:15" s="12" customFormat="1" ht="29.25" customHeight="1">
      <c r="A49" s="700">
        <v>6</v>
      </c>
      <c r="B49" s="701" t="s">
        <v>136</v>
      </c>
      <c r="C49" s="700" t="s">
        <v>102</v>
      </c>
      <c r="D49" s="657">
        <v>38</v>
      </c>
      <c r="E49" s="657">
        <f t="shared" ref="E49:E54" si="19">D49</f>
        <v>38</v>
      </c>
      <c r="F49" s="745"/>
      <c r="G49" s="133"/>
      <c r="H49" s="746">
        <v>38</v>
      </c>
      <c r="I49" s="746">
        <v>38</v>
      </c>
      <c r="J49" s="746">
        <v>38</v>
      </c>
      <c r="K49" s="746">
        <v>38</v>
      </c>
      <c r="L49" s="745">
        <f>J49</f>
        <v>38</v>
      </c>
      <c r="M49" s="238"/>
      <c r="N49" s="699"/>
      <c r="O49" s="344"/>
    </row>
    <row r="50" spans="1:15" s="12" customFormat="1" ht="15" customHeight="1">
      <c r="A50" s="747" t="s">
        <v>44</v>
      </c>
      <c r="B50" s="748" t="s">
        <v>441</v>
      </c>
      <c r="C50" s="749" t="s">
        <v>102</v>
      </c>
      <c r="D50" s="661">
        <v>32</v>
      </c>
      <c r="E50" s="661">
        <f t="shared" si="19"/>
        <v>32</v>
      </c>
      <c r="F50" s="750"/>
      <c r="G50" s="133"/>
      <c r="H50" s="751">
        <v>32</v>
      </c>
      <c r="I50" s="751">
        <v>32</v>
      </c>
      <c r="J50" s="751">
        <v>32</v>
      </c>
      <c r="K50" s="751">
        <v>35</v>
      </c>
      <c r="L50" s="750">
        <v>17</v>
      </c>
      <c r="M50" s="238"/>
      <c r="N50" s="699"/>
      <c r="O50" s="344"/>
    </row>
    <row r="51" spans="1:15" s="12" customFormat="1" ht="15.75">
      <c r="A51" s="747" t="s">
        <v>47</v>
      </c>
      <c r="B51" s="748" t="s">
        <v>442</v>
      </c>
      <c r="C51" s="749" t="s">
        <v>102</v>
      </c>
      <c r="D51" s="133">
        <v>6</v>
      </c>
      <c r="E51" s="133">
        <f t="shared" si="19"/>
        <v>6</v>
      </c>
      <c r="F51" s="707"/>
      <c r="G51" s="133"/>
      <c r="H51" s="751">
        <v>6</v>
      </c>
      <c r="I51" s="751">
        <v>6</v>
      </c>
      <c r="J51" s="751">
        <v>6</v>
      </c>
      <c r="K51" s="751">
        <v>6</v>
      </c>
      <c r="L51" s="707">
        <f>J51</f>
        <v>6</v>
      </c>
      <c r="M51" s="238"/>
      <c r="N51" s="699"/>
      <c r="O51" s="344"/>
    </row>
    <row r="52" spans="1:15" s="12" customFormat="1" ht="31.5">
      <c r="A52" s="752" t="s">
        <v>118</v>
      </c>
      <c r="B52" s="701" t="s">
        <v>137</v>
      </c>
      <c r="C52" s="700" t="s">
        <v>105</v>
      </c>
      <c r="D52" s="657">
        <v>33486</v>
      </c>
      <c r="E52" s="657">
        <f t="shared" si="19"/>
        <v>33486</v>
      </c>
      <c r="F52" s="745"/>
      <c r="G52" s="133"/>
      <c r="H52" s="709">
        <v>60757.15</v>
      </c>
      <c r="I52" s="709">
        <v>60757.15</v>
      </c>
      <c r="J52" s="709">
        <v>60757.15</v>
      </c>
      <c r="K52" s="709">
        <v>63420</v>
      </c>
      <c r="L52" s="745">
        <f>AVERAGE(L53:L54)</f>
        <v>94263.196078431385</v>
      </c>
      <c r="M52" s="238"/>
      <c r="N52" s="699"/>
      <c r="O52" s="344"/>
    </row>
    <row r="53" spans="1:15" s="12" customFormat="1" ht="15.75">
      <c r="A53" s="747" t="s">
        <v>120</v>
      </c>
      <c r="B53" s="748" t="s">
        <v>441</v>
      </c>
      <c r="C53" s="749" t="s">
        <v>105</v>
      </c>
      <c r="D53" s="661">
        <v>26960</v>
      </c>
      <c r="E53" s="661">
        <f t="shared" si="19"/>
        <v>26960</v>
      </c>
      <c r="F53" s="750"/>
      <c r="G53" s="133"/>
      <c r="H53" s="750">
        <v>57148</v>
      </c>
      <c r="I53" s="750">
        <v>57148</v>
      </c>
      <c r="J53" s="750">
        <v>57148</v>
      </c>
      <c r="K53" s="750">
        <v>60577</v>
      </c>
      <c r="L53" s="750">
        <f>L13/4/L50*1000</f>
        <v>79344.808823529413</v>
      </c>
      <c r="M53" s="238"/>
      <c r="N53" s="699"/>
      <c r="O53" s="344"/>
    </row>
    <row r="54" spans="1:15" s="12" customFormat="1" ht="15.75">
      <c r="A54" s="747" t="s">
        <v>121</v>
      </c>
      <c r="B54" s="748" t="s">
        <v>442</v>
      </c>
      <c r="C54" s="749" t="s">
        <v>105</v>
      </c>
      <c r="D54" s="750">
        <v>68291</v>
      </c>
      <c r="E54" s="750">
        <f t="shared" si="19"/>
        <v>68291</v>
      </c>
      <c r="F54" s="750"/>
      <c r="G54" s="238"/>
      <c r="H54" s="750">
        <v>80006</v>
      </c>
      <c r="I54" s="750">
        <v>80006</v>
      </c>
      <c r="J54" s="750">
        <v>80006</v>
      </c>
      <c r="K54" s="750">
        <v>80006</v>
      </c>
      <c r="L54" s="750">
        <f>L26/4/L51*1000</f>
        <v>109181.58333333334</v>
      </c>
      <c r="M54" s="238"/>
      <c r="N54" s="699"/>
      <c r="O54" s="344"/>
    </row>
    <row r="55" spans="1:15" s="12" customFormat="1" ht="15.75">
      <c r="A55" s="753"/>
      <c r="B55" s="754"/>
      <c r="C55" s="755"/>
      <c r="D55" s="756"/>
      <c r="E55" s="756"/>
      <c r="F55" s="756"/>
      <c r="G55" s="253"/>
      <c r="H55" s="756"/>
      <c r="I55" s="756"/>
      <c r="J55" s="756"/>
      <c r="K55" s="756"/>
      <c r="L55" s="756"/>
      <c r="M55" s="253"/>
      <c r="N55" s="757"/>
      <c r="O55" s="758"/>
    </row>
    <row r="56" spans="1:15" s="12" customFormat="1" ht="15.75">
      <c r="A56" s="753"/>
      <c r="B56" s="754"/>
      <c r="C56" s="755"/>
      <c r="D56" s="756"/>
      <c r="E56" s="756"/>
      <c r="F56" s="756"/>
      <c r="G56" s="253"/>
      <c r="H56" s="756"/>
      <c r="I56" s="756"/>
      <c r="J56" s="756"/>
      <c r="K56" s="756"/>
      <c r="L56" s="756"/>
      <c r="M56" s="253"/>
      <c r="N56" s="757"/>
      <c r="O56" s="758"/>
    </row>
    <row r="57" spans="1:15" s="12" customFormat="1" ht="15" customHeight="1">
      <c r="A57" s="155"/>
      <c r="B57" s="942"/>
      <c r="C57" s="942"/>
      <c r="D57" s="665"/>
      <c r="E57" s="665"/>
      <c r="F57" s="665"/>
      <c r="G57" s="161"/>
      <c r="H57" s="665"/>
      <c r="I57" s="665"/>
      <c r="J57" s="665"/>
      <c r="K57" s="665"/>
      <c r="L57" s="759"/>
      <c r="M57" s="161"/>
      <c r="N57" s="757"/>
      <c r="O57" s="758"/>
    </row>
    <row r="58" spans="1:15" s="11" customFormat="1" ht="14.25" customHeight="1">
      <c r="A58" s="161"/>
      <c r="B58" s="760" t="s">
        <v>519</v>
      </c>
      <c r="C58" s="65"/>
      <c r="D58" s="65"/>
      <c r="E58" s="65"/>
      <c r="F58" s="65"/>
      <c r="G58" s="65"/>
      <c r="H58" s="74"/>
      <c r="I58" s="65"/>
      <c r="J58" s="74"/>
      <c r="K58" s="161"/>
      <c r="L58" s="399"/>
      <c r="M58" s="76" t="s">
        <v>106</v>
      </c>
      <c r="N58" s="761"/>
      <c r="O58" s="762"/>
    </row>
    <row r="59" spans="1:15" ht="15.75">
      <c r="A59" s="161"/>
      <c r="B59" s="760"/>
      <c r="C59" s="65"/>
      <c r="D59" s="65"/>
      <c r="E59" s="65"/>
      <c r="F59" s="65"/>
      <c r="G59" s="65"/>
      <c r="H59" s="74"/>
      <c r="I59" s="65"/>
      <c r="J59" s="65"/>
      <c r="K59" s="161"/>
      <c r="L59" s="399"/>
      <c r="M59" s="65"/>
      <c r="N59" s="696"/>
      <c r="O59" s="697"/>
    </row>
    <row r="60" spans="1:15" ht="15.75">
      <c r="A60" s="161"/>
      <c r="B60" s="760" t="s">
        <v>71</v>
      </c>
      <c r="C60" s="65"/>
      <c r="D60" s="65"/>
      <c r="E60" s="65"/>
      <c r="F60" s="65"/>
      <c r="G60" s="65"/>
      <c r="H60" s="74"/>
      <c r="I60" s="65"/>
      <c r="J60" s="65"/>
      <c r="K60" s="161"/>
      <c r="L60" s="399"/>
      <c r="M60" s="76" t="s">
        <v>595</v>
      </c>
      <c r="N60" s="696"/>
      <c r="O60" s="697"/>
    </row>
    <row r="61" spans="1:15" ht="15.75">
      <c r="A61" s="161"/>
      <c r="B61" s="760"/>
      <c r="C61" s="65"/>
      <c r="D61" s="65"/>
      <c r="E61" s="65"/>
      <c r="F61" s="65"/>
      <c r="G61" s="65"/>
      <c r="H61" s="74"/>
      <c r="I61" s="65"/>
      <c r="J61" s="65"/>
      <c r="K61" s="161"/>
      <c r="L61" s="399"/>
      <c r="M61" s="65"/>
      <c r="N61" s="696"/>
      <c r="O61" s="697"/>
    </row>
    <row r="62" spans="1:15" ht="15.75">
      <c r="A62" s="161"/>
      <c r="B62" s="760" t="s">
        <v>72</v>
      </c>
      <c r="C62" s="76"/>
      <c r="D62" s="76"/>
      <c r="E62" s="76"/>
      <c r="F62" s="76"/>
      <c r="G62" s="76"/>
      <c r="H62" s="77"/>
      <c r="I62" s="76"/>
      <c r="J62" s="77"/>
      <c r="K62" s="161"/>
      <c r="L62" s="399"/>
      <c r="M62" s="76" t="s">
        <v>107</v>
      </c>
      <c r="N62" s="696"/>
      <c r="O62" s="697"/>
    </row>
    <row r="63" spans="1:15" ht="15.75">
      <c r="A63" s="161"/>
      <c r="B63" s="760"/>
      <c r="C63" s="76"/>
      <c r="D63" s="76"/>
      <c r="E63" s="76"/>
      <c r="F63" s="76"/>
      <c r="G63" s="76"/>
      <c r="H63" s="77"/>
      <c r="I63" s="76"/>
      <c r="J63" s="77"/>
      <c r="K63" s="161"/>
      <c r="L63" s="386"/>
      <c r="M63" s="160"/>
      <c r="N63" s="696"/>
      <c r="O63" s="697"/>
    </row>
    <row r="64" spans="1:15" ht="15.75">
      <c r="A64" s="161"/>
      <c r="B64" s="760" t="s">
        <v>589</v>
      </c>
      <c r="C64" s="76"/>
      <c r="D64" s="76"/>
      <c r="E64" s="76"/>
      <c r="F64" s="76"/>
      <c r="G64" s="76"/>
      <c r="H64" s="77"/>
      <c r="I64" s="76"/>
      <c r="J64" s="77"/>
      <c r="K64" s="161"/>
      <c r="L64" s="386"/>
      <c r="M64" s="854" t="s">
        <v>590</v>
      </c>
      <c r="N64" s="696"/>
      <c r="O64" s="697"/>
    </row>
    <row r="65" spans="1:15" ht="15.75">
      <c r="A65" s="161"/>
      <c r="B65" s="75"/>
      <c r="C65" s="76"/>
      <c r="D65" s="76"/>
      <c r="E65" s="76"/>
      <c r="F65" s="76"/>
      <c r="G65" s="76"/>
      <c r="H65" s="77"/>
      <c r="I65" s="76"/>
      <c r="J65" s="76"/>
      <c r="K65" s="161"/>
      <c r="L65" s="386"/>
      <c r="M65" s="160"/>
      <c r="N65" s="696"/>
      <c r="O65" s="697"/>
    </row>
    <row r="66" spans="1:15" ht="15.75">
      <c r="A66" s="76" t="s">
        <v>108</v>
      </c>
      <c r="B66" s="76" t="s">
        <v>505</v>
      </c>
      <c r="C66" s="161"/>
      <c r="D66" s="76"/>
      <c r="E66" s="76"/>
      <c r="F66" s="76"/>
      <c r="G66" s="76"/>
      <c r="H66" s="77"/>
      <c r="I66" s="76"/>
      <c r="J66" s="76"/>
      <c r="K66" s="76"/>
      <c r="L66" s="386"/>
      <c r="M66" s="160"/>
      <c r="N66" s="696"/>
      <c r="O66" s="697"/>
    </row>
    <row r="67" spans="1:15" ht="15.75">
      <c r="A67" s="65"/>
      <c r="B67" s="76" t="s">
        <v>109</v>
      </c>
      <c r="C67" s="161"/>
      <c r="D67" s="65"/>
      <c r="E67" s="65"/>
      <c r="F67" s="65"/>
      <c r="G67" s="65"/>
      <c r="H67" s="74"/>
      <c r="I67" s="65"/>
      <c r="J67" s="65"/>
      <c r="K67" s="65"/>
      <c r="L67" s="385"/>
      <c r="M67" s="160"/>
      <c r="N67" s="696"/>
      <c r="O67" s="697"/>
    </row>
    <row r="68" spans="1:15" ht="15.75">
      <c r="A68" s="161"/>
      <c r="B68" s="76" t="s">
        <v>592</v>
      </c>
      <c r="C68" s="161"/>
      <c r="D68" s="161"/>
      <c r="E68" s="161"/>
      <c r="F68" s="161"/>
      <c r="G68" s="695"/>
      <c r="H68" s="161"/>
      <c r="I68" s="161"/>
      <c r="J68" s="161"/>
      <c r="K68" s="161"/>
      <c r="L68" s="619"/>
      <c r="M68" s="160"/>
      <c r="N68" s="696"/>
      <c r="O68" s="697"/>
    </row>
    <row r="69" spans="1:15" ht="15.75">
      <c r="A69" s="161"/>
      <c r="B69" s="161"/>
      <c r="C69" s="161"/>
      <c r="D69" s="161"/>
      <c r="E69" s="161"/>
      <c r="F69" s="161"/>
      <c r="G69" s="695"/>
      <c r="H69" s="161"/>
      <c r="I69" s="161"/>
      <c r="J69" s="161"/>
      <c r="K69" s="161"/>
      <c r="L69" s="619"/>
      <c r="M69" s="160"/>
      <c r="N69" s="696"/>
      <c r="O69" s="697"/>
    </row>
  </sheetData>
  <mergeCells count="18">
    <mergeCell ref="B57:C57"/>
    <mergeCell ref="K3:K4"/>
    <mergeCell ref="D4:E4"/>
    <mergeCell ref="A45:A46"/>
    <mergeCell ref="B45:B46"/>
    <mergeCell ref="A3:A4"/>
    <mergeCell ref="B3:B4"/>
    <mergeCell ref="C3:C4"/>
    <mergeCell ref="F3:F4"/>
    <mergeCell ref="G3:G4"/>
    <mergeCell ref="H3:H4"/>
    <mergeCell ref="I3:I4"/>
    <mergeCell ref="J3:J4"/>
    <mergeCell ref="L3:L4"/>
    <mergeCell ref="O3:O4"/>
    <mergeCell ref="A1:O1"/>
    <mergeCell ref="N3:N4"/>
    <mergeCell ref="M3:M4"/>
  </mergeCells>
  <printOptions horizontalCentered="1"/>
  <pageMargins left="0.78740157480314965" right="0.39370078740157483" top="0.59055118110236227" bottom="0.35433070866141736" header="0.35433070866141736" footer="0.31496062992125984"/>
  <pageSetup paperSize="9" scale="57" fitToWidth="2" fitToHeight="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FF"/>
  </sheetPr>
  <dimension ref="A1:Q86"/>
  <sheetViews>
    <sheetView view="pageBreakPreview" zoomScale="80" zoomScaleNormal="71" zoomScaleSheetLayoutView="80" workbookViewId="0">
      <pane xSplit="3" ySplit="4" topLeftCell="K68" activePane="bottomRight" state="frozen"/>
      <selection pane="topRight" activeCell="D1" sqref="D1"/>
      <selection pane="bottomLeft" activeCell="A5" sqref="A5"/>
      <selection pane="bottomRight" activeCell="K81" sqref="K81"/>
    </sheetView>
  </sheetViews>
  <sheetFormatPr defaultColWidth="9.140625" defaultRowHeight="15.75"/>
  <cols>
    <col min="1" max="1" width="9.5703125" style="160" customWidth="1"/>
    <col min="2" max="2" width="44.140625" style="160" customWidth="1"/>
    <col min="3" max="3" width="13.140625" style="160" customWidth="1"/>
    <col min="4" max="4" width="17.7109375" style="160" hidden="1" customWidth="1"/>
    <col min="5" max="5" width="15.28515625" style="160" hidden="1" customWidth="1"/>
    <col min="6" max="6" width="14.28515625" style="161" hidden="1" customWidth="1"/>
    <col min="7" max="7" width="13.42578125" style="161" hidden="1" customWidth="1"/>
    <col min="8" max="8" width="20" style="161" hidden="1" customWidth="1"/>
    <col min="9" max="9" width="14.42578125" style="161" hidden="1" customWidth="1"/>
    <col min="10" max="10" width="12.42578125" style="161" hidden="1" customWidth="1"/>
    <col min="11" max="11" width="19.85546875" style="161" customWidth="1"/>
    <col min="12" max="12" width="17.140625" style="399" customWidth="1"/>
    <col min="13" max="13" width="11.7109375" style="123" customWidth="1"/>
    <col min="14" max="14" width="8.5703125" style="343" customWidth="1"/>
    <col min="15" max="15" width="40" style="303" customWidth="1"/>
    <col min="16" max="16384" width="9.140625" style="9"/>
  </cols>
  <sheetData>
    <row r="1" spans="1:17" ht="68.25" customHeight="1">
      <c r="A1" s="948" t="s">
        <v>582</v>
      </c>
      <c r="B1" s="948"/>
      <c r="C1" s="948"/>
      <c r="D1" s="948"/>
      <c r="E1" s="948"/>
      <c r="F1" s="948"/>
      <c r="G1" s="948"/>
      <c r="H1" s="948"/>
      <c r="I1" s="948"/>
      <c r="J1" s="948"/>
      <c r="K1" s="948"/>
      <c r="L1" s="948"/>
      <c r="M1" s="948"/>
      <c r="N1" s="948"/>
      <c r="O1" s="948"/>
    </row>
    <row r="2" spans="1:17" ht="16.5" customHeight="1">
      <c r="N2" s="696"/>
      <c r="O2" s="697"/>
    </row>
    <row r="3" spans="1:17" ht="34.5" customHeight="1">
      <c r="A3" s="943" t="s">
        <v>0</v>
      </c>
      <c r="B3" s="956" t="s">
        <v>361</v>
      </c>
      <c r="C3" s="943" t="s">
        <v>362</v>
      </c>
      <c r="D3" s="949" t="s">
        <v>363</v>
      </c>
      <c r="E3" s="949"/>
      <c r="F3" s="949"/>
      <c r="G3" s="950" t="s">
        <v>364</v>
      </c>
      <c r="H3" s="951"/>
      <c r="I3" s="952" t="s">
        <v>365</v>
      </c>
      <c r="J3" s="887" t="s">
        <v>366</v>
      </c>
      <c r="K3" s="898" t="s">
        <v>507</v>
      </c>
      <c r="L3" s="880" t="s">
        <v>569</v>
      </c>
      <c r="M3" s="880" t="s">
        <v>508</v>
      </c>
      <c r="N3" s="880"/>
      <c r="O3" s="923" t="s">
        <v>503</v>
      </c>
    </row>
    <row r="4" spans="1:17" ht="39" customHeight="1">
      <c r="A4" s="944"/>
      <c r="B4" s="957"/>
      <c r="C4" s="944"/>
      <c r="D4" s="430" t="s">
        <v>367</v>
      </c>
      <c r="E4" s="430" t="s">
        <v>368</v>
      </c>
      <c r="F4" s="125" t="s">
        <v>3</v>
      </c>
      <c r="G4" s="124" t="s">
        <v>369</v>
      </c>
      <c r="H4" s="162" t="s">
        <v>370</v>
      </c>
      <c r="I4" s="953"/>
      <c r="J4" s="888"/>
      <c r="K4" s="898"/>
      <c r="L4" s="880"/>
      <c r="M4" s="416" t="s">
        <v>58</v>
      </c>
      <c r="N4" s="347" t="s">
        <v>67</v>
      </c>
      <c r="O4" s="924"/>
    </row>
    <row r="5" spans="1:17" s="10" customFormat="1" ht="35.25" customHeight="1">
      <c r="A5" s="163" t="s">
        <v>59</v>
      </c>
      <c r="B5" s="192" t="s">
        <v>123</v>
      </c>
      <c r="C5" s="165" t="s">
        <v>6</v>
      </c>
      <c r="D5" s="350" t="e">
        <f t="shared" ref="D5:K5" si="0">D6+D12+D16+D17+D18</f>
        <v>#REF!</v>
      </c>
      <c r="E5" s="350" t="e">
        <f t="shared" si="0"/>
        <v>#REF!</v>
      </c>
      <c r="F5" s="350" t="e">
        <f t="shared" si="0"/>
        <v>#REF!</v>
      </c>
      <c r="G5" s="350" t="e">
        <f t="shared" si="0"/>
        <v>#REF!</v>
      </c>
      <c r="H5" s="350" t="e">
        <f t="shared" si="0"/>
        <v>#REF!</v>
      </c>
      <c r="I5" s="350" t="e">
        <f t="shared" si="0"/>
        <v>#REF!</v>
      </c>
      <c r="J5" s="350" t="e">
        <f t="shared" si="0"/>
        <v>#REF!</v>
      </c>
      <c r="K5" s="147">
        <f t="shared" si="0"/>
        <v>14591.33</v>
      </c>
      <c r="L5" s="351">
        <f>L6+L12+L16+L17+L18</f>
        <v>2959.4170000000004</v>
      </c>
      <c r="M5" s="351">
        <f>M6+M12+M16+M17+M18</f>
        <v>-11631.913</v>
      </c>
      <c r="N5" s="763">
        <f t="shared" ref="N5:N6" si="1">L5/K5*100-100</f>
        <v>-79.717976359934283</v>
      </c>
      <c r="O5" s="296"/>
      <c r="Q5" s="13"/>
    </row>
    <row r="6" spans="1:17" s="10" customFormat="1" ht="15" customHeight="1">
      <c r="A6" s="169">
        <v>1</v>
      </c>
      <c r="B6" s="170" t="s">
        <v>158</v>
      </c>
      <c r="C6" s="171" t="s">
        <v>6</v>
      </c>
      <c r="D6" s="172">
        <f t="shared" ref="D6:M6" si="2">SUM(D7:D9)</f>
        <v>500.15</v>
      </c>
      <c r="E6" s="172">
        <f t="shared" si="2"/>
        <v>151.21</v>
      </c>
      <c r="F6" s="172">
        <f t="shared" si="2"/>
        <v>201.66</v>
      </c>
      <c r="G6" s="172">
        <f t="shared" si="2"/>
        <v>427.93</v>
      </c>
      <c r="H6" s="172">
        <f t="shared" si="2"/>
        <v>303.49829969679075</v>
      </c>
      <c r="I6" s="172">
        <f t="shared" si="2"/>
        <v>454.70829969679079</v>
      </c>
      <c r="J6" s="172">
        <f t="shared" si="2"/>
        <v>637.49</v>
      </c>
      <c r="K6" s="167">
        <f t="shared" si="2"/>
        <v>427.93</v>
      </c>
      <c r="L6" s="297">
        <f>SUM(L7:L9)</f>
        <v>35.191000000000003</v>
      </c>
      <c r="M6" s="297">
        <f t="shared" si="2"/>
        <v>-392.73900000000003</v>
      </c>
      <c r="N6" s="763">
        <f t="shared" si="1"/>
        <v>-91.776458766620706</v>
      </c>
      <c r="O6" s="297"/>
    </row>
    <row r="7" spans="1:17" ht="17.25" customHeight="1">
      <c r="A7" s="173" t="s">
        <v>9</v>
      </c>
      <c r="B7" s="170" t="s">
        <v>125</v>
      </c>
      <c r="C7" s="171" t="s">
        <v>124</v>
      </c>
      <c r="D7" s="178">
        <v>300.14999999999998</v>
      </c>
      <c r="E7" s="174">
        <f>ROUND(D7*$E$59,2)</f>
        <v>90.75</v>
      </c>
      <c r="F7" s="174">
        <v>105.47</v>
      </c>
      <c r="G7" s="174">
        <v>166.43</v>
      </c>
      <c r="H7" s="175">
        <f>G7*$H$59</f>
        <v>118.03617885760963</v>
      </c>
      <c r="I7" s="175">
        <f>E7+H7</f>
        <v>208.78617885760963</v>
      </c>
      <c r="J7" s="176">
        <v>320.25</v>
      </c>
      <c r="K7" s="177">
        <v>166.43</v>
      </c>
      <c r="L7" s="400"/>
      <c r="M7" s="144">
        <f>L7-K7</f>
        <v>-166.43</v>
      </c>
      <c r="N7" s="763">
        <f>L7/K7*100-100</f>
        <v>-100</v>
      </c>
      <c r="O7" s="431" t="s">
        <v>579</v>
      </c>
    </row>
    <row r="8" spans="1:17" ht="17.25" customHeight="1">
      <c r="A8" s="173" t="s">
        <v>11</v>
      </c>
      <c r="B8" s="179" t="s">
        <v>546</v>
      </c>
      <c r="C8" s="171" t="s">
        <v>124</v>
      </c>
      <c r="D8" s="178">
        <v>100</v>
      </c>
      <c r="E8" s="174">
        <f>ROUND(D8*$E$59,2)</f>
        <v>30.23</v>
      </c>
      <c r="F8" s="174">
        <v>23.19</v>
      </c>
      <c r="G8" s="174">
        <v>94.75</v>
      </c>
      <c r="H8" s="175">
        <f>G8*$H$59</f>
        <v>67.198990246701385</v>
      </c>
      <c r="I8" s="175">
        <f>E8+H8</f>
        <v>97.428990246701389</v>
      </c>
      <c r="J8" s="176">
        <v>107.24</v>
      </c>
      <c r="K8" s="177">
        <v>94.75</v>
      </c>
      <c r="L8" s="400">
        <v>35.191000000000003</v>
      </c>
      <c r="M8" s="144">
        <f t="shared" ref="M8:M9" si="3">L8-K8</f>
        <v>-59.558999999999997</v>
      </c>
      <c r="N8" s="763">
        <f t="shared" ref="N8:N51" si="4">L8/K8*100-100</f>
        <v>-62.859102902374673</v>
      </c>
      <c r="O8" s="431" t="s">
        <v>579</v>
      </c>
    </row>
    <row r="9" spans="1:17" s="10" customFormat="1" ht="17.25" customHeight="1">
      <c r="A9" s="173" t="s">
        <v>13</v>
      </c>
      <c r="B9" s="238" t="s">
        <v>199</v>
      </c>
      <c r="C9" s="171" t="s">
        <v>124</v>
      </c>
      <c r="D9" s="344">
        <f>SUM(D10:D11)</f>
        <v>100</v>
      </c>
      <c r="E9" s="344">
        <f t="shared" ref="E9:J9" si="5">SUM(E10:E11)</f>
        <v>30.23</v>
      </c>
      <c r="F9" s="344">
        <f t="shared" si="5"/>
        <v>73</v>
      </c>
      <c r="G9" s="344">
        <f t="shared" si="5"/>
        <v>166.75</v>
      </c>
      <c r="H9" s="344">
        <f t="shared" si="5"/>
        <v>118.26313059247975</v>
      </c>
      <c r="I9" s="344">
        <f t="shared" si="5"/>
        <v>148.49313059247976</v>
      </c>
      <c r="J9" s="344">
        <f t="shared" si="5"/>
        <v>210</v>
      </c>
      <c r="K9" s="345">
        <v>166.75</v>
      </c>
      <c r="L9" s="346"/>
      <c r="M9" s="144">
        <f t="shared" si="3"/>
        <v>-166.75</v>
      </c>
      <c r="N9" s="763">
        <f t="shared" si="4"/>
        <v>-100</v>
      </c>
      <c r="O9" s="431" t="s">
        <v>579</v>
      </c>
    </row>
    <row r="10" spans="1:17" ht="15" hidden="1" customHeight="1">
      <c r="A10" s="173" t="s">
        <v>371</v>
      </c>
      <c r="B10" s="181" t="s">
        <v>199</v>
      </c>
      <c r="C10" s="171" t="s">
        <v>124</v>
      </c>
      <c r="D10" s="178">
        <v>100</v>
      </c>
      <c r="E10" s="174">
        <f>ROUND(D10*$E$59,2)</f>
        <v>30.23</v>
      </c>
      <c r="F10" s="174">
        <v>73</v>
      </c>
      <c r="G10" s="174">
        <v>166.75</v>
      </c>
      <c r="H10" s="175">
        <f>G10*$H$59</f>
        <v>118.26313059247975</v>
      </c>
      <c r="I10" s="175">
        <f>E10+H10</f>
        <v>148.49313059247976</v>
      </c>
      <c r="J10" s="176">
        <v>210</v>
      </c>
      <c r="K10" s="177">
        <v>137</v>
      </c>
      <c r="L10" s="400">
        <v>139.5</v>
      </c>
      <c r="M10" s="144">
        <f>L10-K10</f>
        <v>2.5</v>
      </c>
      <c r="N10" s="763">
        <f t="shared" si="4"/>
        <v>1.8248175182481674</v>
      </c>
      <c r="O10" s="431"/>
    </row>
    <row r="11" spans="1:17" ht="35.25" hidden="1" customHeight="1">
      <c r="A11" s="173" t="s">
        <v>372</v>
      </c>
      <c r="B11" s="179" t="s">
        <v>373</v>
      </c>
      <c r="C11" s="171" t="s">
        <v>124</v>
      </c>
      <c r="D11" s="178"/>
      <c r="E11" s="174"/>
      <c r="F11" s="174"/>
      <c r="G11" s="174"/>
      <c r="H11" s="175"/>
      <c r="I11" s="175"/>
      <c r="J11" s="176"/>
      <c r="K11" s="177">
        <v>73</v>
      </c>
      <c r="L11" s="400">
        <v>73</v>
      </c>
      <c r="M11" s="144">
        <f>L11-K11</f>
        <v>0</v>
      </c>
      <c r="N11" s="763">
        <f t="shared" si="4"/>
        <v>0</v>
      </c>
      <c r="O11" s="431"/>
    </row>
    <row r="12" spans="1:17" s="10" customFormat="1" ht="18.75" customHeight="1">
      <c r="A12" s="429">
        <v>2</v>
      </c>
      <c r="B12" s="182" t="s">
        <v>126</v>
      </c>
      <c r="C12" s="430" t="s">
        <v>6</v>
      </c>
      <c r="D12" s="172">
        <f>SUM(D13:D15)</f>
        <v>5829.5099999999993</v>
      </c>
      <c r="E12" s="172">
        <f>E13+E14+E15</f>
        <v>1762.53</v>
      </c>
      <c r="F12" s="167">
        <f>F13+F14+F15</f>
        <v>2709.69</v>
      </c>
      <c r="G12" s="167">
        <f>G13+G14+G15</f>
        <v>10551.350000000002</v>
      </c>
      <c r="H12" s="183">
        <f>SUM(H13:H15)</f>
        <v>7483.2724616309524</v>
      </c>
      <c r="I12" s="183">
        <f>SUM(I13:I15)</f>
        <v>9245.8024616309522</v>
      </c>
      <c r="J12" s="184">
        <f>SUM(J13:J15)</f>
        <v>7773.04</v>
      </c>
      <c r="K12" s="167">
        <f>SUM(K13:K15)</f>
        <v>12782.199999999999</v>
      </c>
      <c r="L12" s="302">
        <f>SUM(L13:L15)</f>
        <v>2879.2440000000001</v>
      </c>
      <c r="M12" s="297">
        <f t="shared" ref="M12" si="6">M13+M14+M15</f>
        <v>-9902.9560000000001</v>
      </c>
      <c r="N12" s="763">
        <f t="shared" si="4"/>
        <v>-77.474581840371769</v>
      </c>
      <c r="O12" s="431"/>
    </row>
    <row r="13" spans="1:17" ht="33.75" customHeight="1">
      <c r="A13" s="817" t="s">
        <v>19</v>
      </c>
      <c r="B13" s="431" t="s">
        <v>332</v>
      </c>
      <c r="C13" s="818" t="s">
        <v>6</v>
      </c>
      <c r="D13" s="819">
        <v>5304.37</v>
      </c>
      <c r="E13" s="819">
        <f>ROUND(D13*$E$59,2)</f>
        <v>1603.76</v>
      </c>
      <c r="F13" s="820">
        <v>2459.73</v>
      </c>
      <c r="G13" s="820">
        <v>9600.86</v>
      </c>
      <c r="H13" s="821">
        <f>G13*$H$59</f>
        <v>6809.1619788912458</v>
      </c>
      <c r="I13" s="821">
        <f>E13+H13</f>
        <v>8412.9219788912451</v>
      </c>
      <c r="J13" s="822">
        <v>7068.03</v>
      </c>
      <c r="K13" s="823">
        <v>11630.76</v>
      </c>
      <c r="L13" s="824">
        <v>2614.125</v>
      </c>
      <c r="M13" s="825">
        <f>L13-K13</f>
        <v>-9016.6350000000002</v>
      </c>
      <c r="N13" s="816">
        <f t="shared" si="4"/>
        <v>-77.524039701618818</v>
      </c>
      <c r="O13" s="431" t="s">
        <v>579</v>
      </c>
    </row>
    <row r="14" spans="1:17" ht="17.25" customHeight="1">
      <c r="A14" s="173" t="s">
        <v>21</v>
      </c>
      <c r="B14" s="170" t="s">
        <v>127</v>
      </c>
      <c r="C14" s="171" t="s">
        <v>124</v>
      </c>
      <c r="D14" s="178">
        <v>286.44</v>
      </c>
      <c r="E14" s="178">
        <f>ROUND(D14*$E$59,2)</f>
        <v>86.6</v>
      </c>
      <c r="F14" s="174">
        <v>158.75</v>
      </c>
      <c r="G14" s="174">
        <v>518.45000000000005</v>
      </c>
      <c r="H14" s="175">
        <f>G14*$H$59</f>
        <v>367.6972716981777</v>
      </c>
      <c r="I14" s="175">
        <f>E14+H14</f>
        <v>454.29727169817772</v>
      </c>
      <c r="J14" s="176">
        <v>402.81</v>
      </c>
      <c r="K14" s="177">
        <v>628.05999999999995</v>
      </c>
      <c r="L14" s="400">
        <v>152.851</v>
      </c>
      <c r="M14" s="144">
        <f t="shared" ref="M14:M17" si="7">L14-K14</f>
        <v>-475.20899999999995</v>
      </c>
      <c r="N14" s="763">
        <f t="shared" si="4"/>
        <v>-75.662993981466741</v>
      </c>
      <c r="O14" s="431" t="s">
        <v>579</v>
      </c>
    </row>
    <row r="15" spans="1:17" ht="17.25" customHeight="1">
      <c r="A15" s="173" t="s">
        <v>23</v>
      </c>
      <c r="B15" s="187" t="s">
        <v>128</v>
      </c>
      <c r="C15" s="171" t="s">
        <v>124</v>
      </c>
      <c r="D15" s="178">
        <v>238.7</v>
      </c>
      <c r="E15" s="178">
        <f>ROUND(D15*$E$59,2)</f>
        <v>72.17</v>
      </c>
      <c r="F15" s="174">
        <v>91.21</v>
      </c>
      <c r="G15" s="174">
        <v>432.04</v>
      </c>
      <c r="H15" s="175">
        <f>G15*$H$59</f>
        <v>306.413211041529</v>
      </c>
      <c r="I15" s="175">
        <f>E15+H15</f>
        <v>378.58321104152901</v>
      </c>
      <c r="J15" s="176">
        <v>302.2</v>
      </c>
      <c r="K15" s="177">
        <v>523.38</v>
      </c>
      <c r="L15" s="400">
        <v>112.268</v>
      </c>
      <c r="M15" s="144">
        <f>L15-K15</f>
        <v>-411.11199999999997</v>
      </c>
      <c r="N15" s="763">
        <f t="shared" si="4"/>
        <v>-78.549428713363142</v>
      </c>
      <c r="O15" s="431" t="s">
        <v>579</v>
      </c>
    </row>
    <row r="16" spans="1:17" s="10" customFormat="1" ht="17.25" customHeight="1">
      <c r="A16" s="429">
        <v>3</v>
      </c>
      <c r="B16" s="164" t="s">
        <v>80</v>
      </c>
      <c r="C16" s="430" t="s">
        <v>124</v>
      </c>
      <c r="D16" s="172">
        <v>596</v>
      </c>
      <c r="E16" s="172">
        <f>ROUND(D16*$E$59,2)</f>
        <v>180.2</v>
      </c>
      <c r="F16" s="167">
        <v>0</v>
      </c>
      <c r="G16" s="167">
        <v>0</v>
      </c>
      <c r="H16" s="183">
        <f>G16*$H$59</f>
        <v>0</v>
      </c>
      <c r="I16" s="183">
        <f>E16+H16</f>
        <v>180.2</v>
      </c>
      <c r="J16" s="188">
        <v>708.57299999999998</v>
      </c>
      <c r="K16" s="184">
        <v>0</v>
      </c>
      <c r="L16" s="302">
        <v>9.2799999999999994</v>
      </c>
      <c r="M16" s="144">
        <f t="shared" si="7"/>
        <v>9.2799999999999994</v>
      </c>
      <c r="N16" s="763"/>
      <c r="O16" s="431" t="s">
        <v>579</v>
      </c>
    </row>
    <row r="17" spans="1:17" s="10" customFormat="1" ht="17.25" customHeight="1">
      <c r="A17" s="429">
        <v>4</v>
      </c>
      <c r="B17" s="182" t="s">
        <v>374</v>
      </c>
      <c r="C17" s="430" t="s">
        <v>6</v>
      </c>
      <c r="D17" s="172">
        <v>750</v>
      </c>
      <c r="E17" s="174">
        <f>ROUND(D17*$E$59,2)</f>
        <v>226.76</v>
      </c>
      <c r="F17" s="167">
        <v>132.66</v>
      </c>
      <c r="G17" s="167">
        <v>437.4</v>
      </c>
      <c r="H17" s="183">
        <f>G17*$H$59</f>
        <v>310.21465260060353</v>
      </c>
      <c r="I17" s="183">
        <f>E17+H17</f>
        <v>536.97465260060358</v>
      </c>
      <c r="J17" s="184">
        <v>298.64990000000398</v>
      </c>
      <c r="K17" s="184">
        <v>1012.71</v>
      </c>
      <c r="L17" s="302"/>
      <c r="M17" s="144">
        <f t="shared" si="7"/>
        <v>-1012.71</v>
      </c>
      <c r="N17" s="763">
        <f t="shared" si="4"/>
        <v>-100</v>
      </c>
      <c r="O17" s="431" t="s">
        <v>579</v>
      </c>
    </row>
    <row r="18" spans="1:17" s="10" customFormat="1" ht="15.75" customHeight="1">
      <c r="A18" s="180" t="s">
        <v>285</v>
      </c>
      <c r="B18" s="182" t="s">
        <v>129</v>
      </c>
      <c r="C18" s="430" t="s">
        <v>6</v>
      </c>
      <c r="D18" s="172" t="e">
        <f>SUM(D20:D21)+SUM(#REF!)</f>
        <v>#REF!</v>
      </c>
      <c r="E18" s="172" t="e">
        <f>SUM(E20:E21)+SUM(#REF!)</f>
        <v>#REF!</v>
      </c>
      <c r="F18" s="172" t="e">
        <f>SUM(F20:F21)+SUM(#REF!)</f>
        <v>#REF!</v>
      </c>
      <c r="G18" s="172" t="e">
        <f>SUM(G20:G21)+SUM(#REF!)</f>
        <v>#REF!</v>
      </c>
      <c r="H18" s="172" t="e">
        <f>SUM(H20:H21)+SUM(#REF!)</f>
        <v>#REF!</v>
      </c>
      <c r="I18" s="172" t="e">
        <f>SUM(I20:I21)+SUM(#REF!)</f>
        <v>#REF!</v>
      </c>
      <c r="J18" s="172" t="e">
        <f>SUM(J20:J21)+SUM(#REF!)</f>
        <v>#REF!</v>
      </c>
      <c r="K18" s="167">
        <f>SUM(K19:K21)</f>
        <v>368.48999999999995</v>
      </c>
      <c r="L18" s="297">
        <f>SUM(L19:L21)</f>
        <v>35.701999999999998</v>
      </c>
      <c r="M18" s="297">
        <f>SUM(M19:M21)</f>
        <v>-332.78799999999995</v>
      </c>
      <c r="N18" s="763">
        <f t="shared" si="4"/>
        <v>-90.311270319411648</v>
      </c>
      <c r="O18" s="431"/>
    </row>
    <row r="19" spans="1:17" s="10" customFormat="1" ht="16.5" customHeight="1">
      <c r="A19" s="173" t="s">
        <v>29</v>
      </c>
      <c r="B19" s="187" t="s">
        <v>208</v>
      </c>
      <c r="C19" s="171" t="s">
        <v>6</v>
      </c>
      <c r="D19" s="172"/>
      <c r="E19" s="172"/>
      <c r="F19" s="172"/>
      <c r="G19" s="172"/>
      <c r="H19" s="309"/>
      <c r="I19" s="309"/>
      <c r="J19" s="172"/>
      <c r="K19" s="174">
        <v>205.51</v>
      </c>
      <c r="L19" s="400">
        <f>4.918+27.149+3.635</f>
        <v>35.701999999999998</v>
      </c>
      <c r="M19" s="344">
        <f>L19-K19</f>
        <v>-169.80799999999999</v>
      </c>
      <c r="N19" s="763">
        <f t="shared" si="4"/>
        <v>-82.627609362074836</v>
      </c>
      <c r="O19" s="431" t="s">
        <v>579</v>
      </c>
    </row>
    <row r="20" spans="1:17" s="10" customFormat="1" ht="16.5" customHeight="1">
      <c r="A20" s="173" t="s">
        <v>31</v>
      </c>
      <c r="B20" s="170" t="s">
        <v>132</v>
      </c>
      <c r="C20" s="171" t="s">
        <v>6</v>
      </c>
      <c r="D20" s="171" t="s">
        <v>6</v>
      </c>
      <c r="E20" s="171" t="s">
        <v>6</v>
      </c>
      <c r="F20" s="171" t="s">
        <v>6</v>
      </c>
      <c r="G20" s="171" t="s">
        <v>6</v>
      </c>
      <c r="H20" s="171" t="s">
        <v>6</v>
      </c>
      <c r="I20" s="171" t="s">
        <v>6</v>
      </c>
      <c r="J20" s="171" t="s">
        <v>6</v>
      </c>
      <c r="K20" s="176">
        <v>104.16</v>
      </c>
      <c r="L20" s="400"/>
      <c r="M20" s="344">
        <f>L20-K20</f>
        <v>-104.16</v>
      </c>
      <c r="N20" s="763">
        <f t="shared" si="4"/>
        <v>-100</v>
      </c>
      <c r="O20" s="431" t="s">
        <v>579</v>
      </c>
    </row>
    <row r="21" spans="1:17" s="10" customFormat="1" ht="16.5" customHeight="1">
      <c r="A21" s="173" t="s">
        <v>33</v>
      </c>
      <c r="B21" s="170" t="s">
        <v>403</v>
      </c>
      <c r="C21" s="171" t="s">
        <v>6</v>
      </c>
      <c r="D21" s="172">
        <f>D22</f>
        <v>0</v>
      </c>
      <c r="E21" s="172">
        <f t="shared" ref="E21:J21" si="8">E22</f>
        <v>0</v>
      </c>
      <c r="F21" s="172">
        <f t="shared" si="8"/>
        <v>0</v>
      </c>
      <c r="G21" s="172">
        <f t="shared" si="8"/>
        <v>0</v>
      </c>
      <c r="H21" s="172">
        <f t="shared" si="8"/>
        <v>0</v>
      </c>
      <c r="I21" s="172">
        <f t="shared" si="8"/>
        <v>0</v>
      </c>
      <c r="J21" s="172">
        <f t="shared" si="8"/>
        <v>0</v>
      </c>
      <c r="K21" s="174">
        <v>58.82</v>
      </c>
      <c r="L21" s="401"/>
      <c r="M21" s="344">
        <f t="shared" ref="M21:M22" si="9">L21-K21</f>
        <v>-58.82</v>
      </c>
      <c r="N21" s="763">
        <f t="shared" si="4"/>
        <v>-100</v>
      </c>
      <c r="O21" s="431" t="s">
        <v>579</v>
      </c>
    </row>
    <row r="22" spans="1:17" s="10" customFormat="1" ht="15.75" hidden="1" customHeight="1">
      <c r="A22" s="173" t="s">
        <v>178</v>
      </c>
      <c r="B22" s="170" t="s">
        <v>375</v>
      </c>
      <c r="C22" s="171" t="s">
        <v>6</v>
      </c>
      <c r="D22" s="178"/>
      <c r="E22" s="174"/>
      <c r="F22" s="174"/>
      <c r="G22" s="174"/>
      <c r="H22" s="175"/>
      <c r="I22" s="175"/>
      <c r="J22" s="176"/>
      <c r="K22" s="176">
        <v>4.04</v>
      </c>
      <c r="L22" s="400"/>
      <c r="M22" s="713">
        <f t="shared" si="9"/>
        <v>-4.04</v>
      </c>
      <c r="N22" s="763">
        <f t="shared" si="4"/>
        <v>-100</v>
      </c>
      <c r="O22" s="431"/>
    </row>
    <row r="23" spans="1:17" ht="18" customHeight="1">
      <c r="A23" s="191" t="s">
        <v>82</v>
      </c>
      <c r="B23" s="192" t="s">
        <v>338</v>
      </c>
      <c r="C23" s="193" t="s">
        <v>6</v>
      </c>
      <c r="D23" s="166">
        <f t="shared" ref="D23:M23" si="10">D24+D36+D28</f>
        <v>4626.62</v>
      </c>
      <c r="E23" s="166">
        <f t="shared" si="10"/>
        <v>1398.8600000000001</v>
      </c>
      <c r="F23" s="167">
        <f t="shared" si="10"/>
        <v>2075.0499999999997</v>
      </c>
      <c r="G23" s="167">
        <f t="shared" si="10"/>
        <v>6714.14</v>
      </c>
      <c r="H23" s="186">
        <f t="shared" si="10"/>
        <v>4761.8303786278384</v>
      </c>
      <c r="I23" s="186">
        <f t="shared" si="10"/>
        <v>6160.6903786278381</v>
      </c>
      <c r="J23" s="167">
        <f t="shared" si="10"/>
        <v>6432.9610000000002</v>
      </c>
      <c r="K23" s="167">
        <f t="shared" si="10"/>
        <v>5254.2250000000004</v>
      </c>
      <c r="L23" s="302">
        <f t="shared" si="10"/>
        <v>2394.9119999999998</v>
      </c>
      <c r="M23" s="297">
        <f t="shared" si="10"/>
        <v>-2859.3129999999996</v>
      </c>
      <c r="N23" s="763">
        <f t="shared" si="4"/>
        <v>-54.419310174193157</v>
      </c>
      <c r="O23" s="431"/>
      <c r="Q23" s="303"/>
    </row>
    <row r="24" spans="1:17" ht="18" customHeight="1">
      <c r="A24" s="194">
        <v>6</v>
      </c>
      <c r="B24" s="195" t="s">
        <v>18</v>
      </c>
      <c r="C24" s="193" t="s">
        <v>6</v>
      </c>
      <c r="D24" s="166">
        <f t="shared" ref="D24:L24" si="11">SUM(D25:D27)</f>
        <v>3876.24</v>
      </c>
      <c r="E24" s="166">
        <f t="shared" si="11"/>
        <v>1171.98</v>
      </c>
      <c r="F24" s="166">
        <f t="shared" si="11"/>
        <v>1918.98</v>
      </c>
      <c r="G24" s="166">
        <f t="shared" si="11"/>
        <v>6330.7100000000009</v>
      </c>
      <c r="H24" s="166">
        <f t="shared" si="11"/>
        <v>4489.8925545614247</v>
      </c>
      <c r="I24" s="166">
        <f t="shared" si="11"/>
        <v>5661.8725545614243</v>
      </c>
      <c r="J24" s="166">
        <f t="shared" si="11"/>
        <v>4891.9799999999996</v>
      </c>
      <c r="K24" s="167">
        <f>SUM(K25:K27)</f>
        <v>4711.1380000000008</v>
      </c>
      <c r="L24" s="297">
        <f t="shared" si="11"/>
        <v>2129.1950000000002</v>
      </c>
      <c r="M24" s="297">
        <f>SUM(M25:M27)</f>
        <v>-2581.9429999999998</v>
      </c>
      <c r="N24" s="763">
        <f t="shared" si="4"/>
        <v>-54.805081065339209</v>
      </c>
      <c r="O24" s="431"/>
      <c r="Q24" s="303"/>
    </row>
    <row r="25" spans="1:17" ht="16.5" customHeight="1">
      <c r="A25" s="173" t="s">
        <v>44</v>
      </c>
      <c r="B25" s="196" t="s">
        <v>339</v>
      </c>
      <c r="C25" s="193" t="s">
        <v>6</v>
      </c>
      <c r="D25" s="197">
        <v>3527.06</v>
      </c>
      <c r="E25" s="197">
        <f>ROUND(D25*$E$59,2)</f>
        <v>1066.4000000000001</v>
      </c>
      <c r="F25" s="174">
        <v>1569.8</v>
      </c>
      <c r="G25" s="174">
        <v>5760.43</v>
      </c>
      <c r="H25" s="175">
        <f>G25*$H$59</f>
        <v>4085.4361940560011</v>
      </c>
      <c r="I25" s="175">
        <f>E25+H25</f>
        <v>5151.8361940560007</v>
      </c>
      <c r="J25" s="176">
        <v>4450.38</v>
      </c>
      <c r="K25" s="177">
        <v>4286.75</v>
      </c>
      <c r="L25" s="400">
        <v>1935.6320000000001</v>
      </c>
      <c r="M25" s="144">
        <f>L25-K25</f>
        <v>-2351.1179999999999</v>
      </c>
      <c r="N25" s="763">
        <f t="shared" si="4"/>
        <v>-54.846165510001747</v>
      </c>
      <c r="O25" s="431" t="s">
        <v>579</v>
      </c>
    </row>
    <row r="26" spans="1:17" ht="16.5" customHeight="1">
      <c r="A26" s="173" t="s">
        <v>47</v>
      </c>
      <c r="B26" s="196" t="s">
        <v>127</v>
      </c>
      <c r="C26" s="193" t="s">
        <v>6</v>
      </c>
      <c r="D26" s="197">
        <v>190.46</v>
      </c>
      <c r="E26" s="197">
        <f>ROUND(D26*$E$59,2)</f>
        <v>57.59</v>
      </c>
      <c r="F26" s="174">
        <v>190.46</v>
      </c>
      <c r="G26" s="174">
        <v>311.06</v>
      </c>
      <c r="H26" s="175">
        <f>G26*$H$59</f>
        <v>220.61127077719192</v>
      </c>
      <c r="I26" s="175">
        <f>E26+H26</f>
        <v>278.20127077719189</v>
      </c>
      <c r="J26" s="176">
        <v>240.87</v>
      </c>
      <c r="K26" s="177">
        <v>231.48400000000001</v>
      </c>
      <c r="L26" s="400">
        <v>105.58</v>
      </c>
      <c r="M26" s="144">
        <f t="shared" ref="M26:M27" si="12">L26-K26</f>
        <v>-125.90400000000001</v>
      </c>
      <c r="N26" s="763">
        <f t="shared" si="4"/>
        <v>-54.389936237493743</v>
      </c>
      <c r="O26" s="431" t="s">
        <v>579</v>
      </c>
    </row>
    <row r="27" spans="1:17" ht="16.5" customHeight="1">
      <c r="A27" s="173" t="s">
        <v>48</v>
      </c>
      <c r="B27" s="196" t="s">
        <v>340</v>
      </c>
      <c r="C27" s="193" t="s">
        <v>6</v>
      </c>
      <c r="D27" s="197">
        <v>158.72</v>
      </c>
      <c r="E27" s="197">
        <f>ROUND(D27*$E$59,2)</f>
        <v>47.99</v>
      </c>
      <c r="F27" s="174">
        <v>158.72</v>
      </c>
      <c r="G27" s="174">
        <v>259.22000000000003</v>
      </c>
      <c r="H27" s="175">
        <f>G27*$H$59</f>
        <v>183.84508972823153</v>
      </c>
      <c r="I27" s="175">
        <f>E27+H27</f>
        <v>231.83508972823154</v>
      </c>
      <c r="J27" s="176">
        <v>200.73</v>
      </c>
      <c r="K27" s="177">
        <v>192.904</v>
      </c>
      <c r="L27" s="400">
        <v>87.983000000000004</v>
      </c>
      <c r="M27" s="144">
        <f t="shared" si="12"/>
        <v>-104.92099999999999</v>
      </c>
      <c r="N27" s="763">
        <f t="shared" si="4"/>
        <v>-54.39026666113714</v>
      </c>
      <c r="O27" s="431" t="s">
        <v>579</v>
      </c>
    </row>
    <row r="28" spans="1:17" ht="18" customHeight="1">
      <c r="A28" s="173" t="s">
        <v>118</v>
      </c>
      <c r="B28" s="195" t="s">
        <v>381</v>
      </c>
      <c r="C28" s="165" t="s">
        <v>6</v>
      </c>
      <c r="D28" s="166">
        <f t="shared" ref="D28:J28" si="13">SUM(D29:D34)</f>
        <v>84.94</v>
      </c>
      <c r="E28" s="166">
        <f t="shared" si="13"/>
        <v>25.68</v>
      </c>
      <c r="F28" s="166">
        <f t="shared" si="13"/>
        <v>55.230000000000004</v>
      </c>
      <c r="G28" s="166">
        <f t="shared" si="13"/>
        <v>209.45000000000002</v>
      </c>
      <c r="H28" s="166">
        <f t="shared" si="13"/>
        <v>148.54700271421223</v>
      </c>
      <c r="I28" s="166">
        <f t="shared" si="13"/>
        <v>174.2270027142122</v>
      </c>
      <c r="J28" s="166">
        <f t="shared" si="13"/>
        <v>146.291</v>
      </c>
      <c r="K28" s="167">
        <f>SUM(K29:K35)</f>
        <v>35.03</v>
      </c>
      <c r="L28" s="297">
        <f>SUM(L29:L35)</f>
        <v>131.131</v>
      </c>
      <c r="M28" s="297">
        <f>SUM(M29:M35)</f>
        <v>96.101000000000013</v>
      </c>
      <c r="N28" s="763">
        <f t="shared" si="4"/>
        <v>274.33913788181559</v>
      </c>
      <c r="O28" s="431"/>
    </row>
    <row r="29" spans="1:17" ht="17.25" customHeight="1">
      <c r="A29" s="173" t="s">
        <v>120</v>
      </c>
      <c r="B29" s="179" t="s">
        <v>51</v>
      </c>
      <c r="C29" s="193" t="s">
        <v>58</v>
      </c>
      <c r="D29" s="197">
        <v>31.82</v>
      </c>
      <c r="E29" s="197">
        <f>ROUND(D29*$E$59,2)</f>
        <v>9.6199999999999992</v>
      </c>
      <c r="F29" s="174">
        <v>0</v>
      </c>
      <c r="G29" s="174">
        <v>19.09</v>
      </c>
      <c r="H29" s="175">
        <f>G29*$H$59</f>
        <v>13.539089433345959</v>
      </c>
      <c r="I29" s="175">
        <f>E29+H29</f>
        <v>23.159089433345958</v>
      </c>
      <c r="J29" s="176">
        <v>31.82</v>
      </c>
      <c r="K29" s="177">
        <v>0</v>
      </c>
      <c r="L29" s="400"/>
      <c r="M29" s="144">
        <f>L29-K29</f>
        <v>0</v>
      </c>
      <c r="N29" s="763"/>
      <c r="O29" s="431" t="s">
        <v>579</v>
      </c>
    </row>
    <row r="30" spans="1:17" ht="17.25" customHeight="1">
      <c r="A30" s="173" t="s">
        <v>121</v>
      </c>
      <c r="B30" s="179" t="s">
        <v>34</v>
      </c>
      <c r="C30" s="130" t="s">
        <v>58</v>
      </c>
      <c r="D30" s="174"/>
      <c r="E30" s="174"/>
      <c r="F30" s="174"/>
      <c r="G30" s="174"/>
      <c r="H30" s="175"/>
      <c r="I30" s="175"/>
      <c r="J30" s="176"/>
      <c r="K30" s="177">
        <v>1.61</v>
      </c>
      <c r="L30" s="400">
        <v>0.437</v>
      </c>
      <c r="M30" s="144">
        <f t="shared" ref="M30:M35" si="14">L30-K30</f>
        <v>-1.173</v>
      </c>
      <c r="N30" s="763">
        <f t="shared" si="4"/>
        <v>-72.857142857142861</v>
      </c>
      <c r="O30" s="431" t="s">
        <v>579</v>
      </c>
    </row>
    <row r="31" spans="1:17" ht="17.25" customHeight="1">
      <c r="A31" s="173" t="s">
        <v>220</v>
      </c>
      <c r="B31" s="179" t="s">
        <v>52</v>
      </c>
      <c r="C31" s="193" t="s">
        <v>58</v>
      </c>
      <c r="D31" s="197">
        <v>37.520000000000003</v>
      </c>
      <c r="E31" s="197">
        <f>ROUND(D31*$E$59,2)</f>
        <v>11.34</v>
      </c>
      <c r="F31" s="174">
        <v>42.21</v>
      </c>
      <c r="G31" s="174">
        <v>56.28</v>
      </c>
      <c r="H31" s="175">
        <f>G31*$H$59</f>
        <v>39.91513637028342</v>
      </c>
      <c r="I31" s="175">
        <f>E31+H31</f>
        <v>51.255136370283424</v>
      </c>
      <c r="J31" s="190">
        <v>42.213999999999999</v>
      </c>
      <c r="K31" s="177">
        <v>2.63</v>
      </c>
      <c r="L31" s="400">
        <v>2.1339999999999999</v>
      </c>
      <c r="M31" s="144">
        <f t="shared" si="14"/>
        <v>-0.496</v>
      </c>
      <c r="N31" s="763">
        <f t="shared" si="4"/>
        <v>-18.859315589353614</v>
      </c>
      <c r="O31" s="431" t="s">
        <v>579</v>
      </c>
    </row>
    <row r="32" spans="1:17" ht="32.25" customHeight="1">
      <c r="A32" s="173" t="s">
        <v>222</v>
      </c>
      <c r="B32" s="179" t="s">
        <v>410</v>
      </c>
      <c r="C32" s="193" t="s">
        <v>58</v>
      </c>
      <c r="D32" s="197"/>
      <c r="E32" s="197"/>
      <c r="F32" s="174"/>
      <c r="G32" s="174"/>
      <c r="H32" s="175"/>
      <c r="I32" s="175"/>
      <c r="J32" s="190"/>
      <c r="K32" s="823"/>
      <c r="L32" s="824">
        <v>52.161999999999999</v>
      </c>
      <c r="M32" s="825">
        <f t="shared" si="14"/>
        <v>52.161999999999999</v>
      </c>
      <c r="N32" s="816"/>
      <c r="O32" s="431" t="s">
        <v>579</v>
      </c>
    </row>
    <row r="33" spans="1:15" ht="17.25" customHeight="1">
      <c r="A33" s="173" t="s">
        <v>224</v>
      </c>
      <c r="B33" s="179" t="s">
        <v>479</v>
      </c>
      <c r="C33" s="193" t="s">
        <v>58</v>
      </c>
      <c r="D33" s="197"/>
      <c r="E33" s="197">
        <f>ROUND(D33*$E$59,2)</f>
        <v>0</v>
      </c>
      <c r="F33" s="174">
        <v>1.32</v>
      </c>
      <c r="G33" s="174">
        <v>118.48</v>
      </c>
      <c r="H33" s="175">
        <f>G33*$H$59</f>
        <v>84.028879835664185</v>
      </c>
      <c r="I33" s="175">
        <f>E33+H33</f>
        <v>84.028879835664185</v>
      </c>
      <c r="J33" s="190">
        <v>60.557000000000002</v>
      </c>
      <c r="K33" s="177">
        <v>19.09</v>
      </c>
      <c r="L33" s="400"/>
      <c r="M33" s="144">
        <f t="shared" si="14"/>
        <v>-19.09</v>
      </c>
      <c r="N33" s="763">
        <f t="shared" si="4"/>
        <v>-100</v>
      </c>
      <c r="O33" s="431" t="s">
        <v>579</v>
      </c>
    </row>
    <row r="34" spans="1:15" ht="17.25" customHeight="1">
      <c r="A34" s="173" t="s">
        <v>226</v>
      </c>
      <c r="B34" s="179" t="s">
        <v>547</v>
      </c>
      <c r="C34" s="193" t="s">
        <v>58</v>
      </c>
      <c r="D34" s="197">
        <v>15.6</v>
      </c>
      <c r="E34" s="197">
        <f>ROUND(D34*$E$59,2)</f>
        <v>4.72</v>
      </c>
      <c r="F34" s="174">
        <v>11.7</v>
      </c>
      <c r="G34" s="174">
        <v>15.6</v>
      </c>
      <c r="H34" s="175">
        <f>G34*$H$59</f>
        <v>11.063897074918646</v>
      </c>
      <c r="I34" s="175">
        <f>E34+H34</f>
        <v>15.783897074918645</v>
      </c>
      <c r="J34" s="190">
        <v>11.7</v>
      </c>
      <c r="K34" s="177">
        <v>11.7</v>
      </c>
      <c r="L34" s="400">
        <v>60.798999999999999</v>
      </c>
      <c r="M34" s="144">
        <f t="shared" si="14"/>
        <v>49.099000000000004</v>
      </c>
      <c r="N34" s="763">
        <f t="shared" si="4"/>
        <v>419.64957264957263</v>
      </c>
      <c r="O34" s="431" t="s">
        <v>579</v>
      </c>
    </row>
    <row r="35" spans="1:15" ht="17.25" customHeight="1">
      <c r="A35" s="173" t="s">
        <v>227</v>
      </c>
      <c r="B35" s="179" t="s">
        <v>563</v>
      </c>
      <c r="C35" s="193" t="s">
        <v>58</v>
      </c>
      <c r="D35" s="197"/>
      <c r="E35" s="197"/>
      <c r="F35" s="174"/>
      <c r="G35" s="174"/>
      <c r="H35" s="175"/>
      <c r="I35" s="175"/>
      <c r="J35" s="190"/>
      <c r="K35" s="177"/>
      <c r="L35" s="400">
        <v>15.599</v>
      </c>
      <c r="M35" s="144">
        <f t="shared" si="14"/>
        <v>15.599</v>
      </c>
      <c r="N35" s="763"/>
      <c r="O35" s="431" t="s">
        <v>579</v>
      </c>
    </row>
    <row r="36" spans="1:15" ht="18" customHeight="1">
      <c r="A36" s="173" t="s">
        <v>299</v>
      </c>
      <c r="B36" s="195" t="s">
        <v>376</v>
      </c>
      <c r="C36" s="193" t="s">
        <v>6</v>
      </c>
      <c r="D36" s="166">
        <f t="shared" ref="D36:M36" si="15">SUM(D37:D44)</f>
        <v>665.44</v>
      </c>
      <c r="E36" s="166">
        <f t="shared" si="15"/>
        <v>201.2</v>
      </c>
      <c r="F36" s="166">
        <f t="shared" si="15"/>
        <v>100.84</v>
      </c>
      <c r="G36" s="166">
        <f t="shared" si="15"/>
        <v>173.98000000000002</v>
      </c>
      <c r="H36" s="166">
        <f t="shared" si="15"/>
        <v>123.39082135220167</v>
      </c>
      <c r="I36" s="166">
        <f t="shared" si="15"/>
        <v>324.59082135220166</v>
      </c>
      <c r="J36" s="166">
        <f t="shared" si="15"/>
        <v>1394.69</v>
      </c>
      <c r="K36" s="167">
        <f t="shared" si="15"/>
        <v>508.05699999999996</v>
      </c>
      <c r="L36" s="297">
        <f t="shared" si="15"/>
        <v>134.58599999999998</v>
      </c>
      <c r="M36" s="297">
        <f t="shared" si="15"/>
        <v>-373.47099999999989</v>
      </c>
      <c r="N36" s="763">
        <f t="shared" si="4"/>
        <v>-73.509665254095509</v>
      </c>
      <c r="O36" s="431"/>
    </row>
    <row r="37" spans="1:15" ht="16.5" customHeight="1">
      <c r="A37" s="173" t="s">
        <v>300</v>
      </c>
      <c r="B37" s="196" t="s">
        <v>377</v>
      </c>
      <c r="C37" s="193" t="s">
        <v>6</v>
      </c>
      <c r="D37" s="197">
        <v>32.49</v>
      </c>
      <c r="E37" s="197">
        <f t="shared" ref="E37:E43" si="16">ROUND(D37*$E$59,2)</f>
        <v>9.82</v>
      </c>
      <c r="F37" s="174">
        <v>4.74</v>
      </c>
      <c r="G37" s="174">
        <v>52.71</v>
      </c>
      <c r="H37" s="175">
        <f t="shared" ref="H37:H43" si="17">G37*$H$59</f>
        <v>37.383206078138578</v>
      </c>
      <c r="I37" s="175">
        <f>E37+H37</f>
        <v>47.203206078138578</v>
      </c>
      <c r="J37" s="176">
        <v>82.5</v>
      </c>
      <c r="K37" s="177">
        <v>3</v>
      </c>
      <c r="L37" s="400"/>
      <c r="M37" s="144">
        <f>L37-K37</f>
        <v>-3</v>
      </c>
      <c r="N37" s="763">
        <f t="shared" si="4"/>
        <v>-100</v>
      </c>
      <c r="O37" s="431" t="s">
        <v>579</v>
      </c>
    </row>
    <row r="38" spans="1:15" ht="16.5" customHeight="1">
      <c r="A38" s="173" t="s">
        <v>301</v>
      </c>
      <c r="B38" s="196" t="s">
        <v>229</v>
      </c>
      <c r="C38" s="193" t="s">
        <v>6</v>
      </c>
      <c r="D38" s="197">
        <v>20</v>
      </c>
      <c r="E38" s="197">
        <f t="shared" si="16"/>
        <v>6.05</v>
      </c>
      <c r="F38" s="174">
        <v>3.69</v>
      </c>
      <c r="G38" s="174">
        <v>20</v>
      </c>
      <c r="H38" s="175">
        <f t="shared" si="17"/>
        <v>14.18448342938288</v>
      </c>
      <c r="I38" s="175">
        <f t="shared" ref="I38:I43" si="18">E38+H38</f>
        <v>20.23448342938288</v>
      </c>
      <c r="J38" s="176">
        <v>24.17</v>
      </c>
      <c r="K38" s="177">
        <v>57.47</v>
      </c>
      <c r="L38" s="400">
        <v>61.484999999999999</v>
      </c>
      <c r="M38" s="144">
        <f t="shared" ref="M38:M43" si="19">L38-K38</f>
        <v>4.0150000000000006</v>
      </c>
      <c r="N38" s="763">
        <f t="shared" si="4"/>
        <v>6.986253697581347</v>
      </c>
      <c r="O38" s="431" t="s">
        <v>579</v>
      </c>
    </row>
    <row r="39" spans="1:15" ht="16.5" customHeight="1">
      <c r="A39" s="173" t="s">
        <v>382</v>
      </c>
      <c r="B39" s="196" t="s">
        <v>57</v>
      </c>
      <c r="C39" s="193" t="s">
        <v>6</v>
      </c>
      <c r="D39" s="197">
        <v>501.22</v>
      </c>
      <c r="E39" s="197">
        <f t="shared" si="16"/>
        <v>151.54</v>
      </c>
      <c r="F39" s="174">
        <v>0</v>
      </c>
      <c r="G39" s="174"/>
      <c r="H39" s="175">
        <f t="shared" si="17"/>
        <v>0</v>
      </c>
      <c r="I39" s="175">
        <f t="shared" si="18"/>
        <v>151.54</v>
      </c>
      <c r="J39" s="176">
        <v>1080.19</v>
      </c>
      <c r="K39" s="177">
        <v>20</v>
      </c>
      <c r="L39" s="400"/>
      <c r="M39" s="144">
        <f t="shared" si="19"/>
        <v>-20</v>
      </c>
      <c r="N39" s="763">
        <f t="shared" si="4"/>
        <v>-100</v>
      </c>
      <c r="O39" s="431" t="s">
        <v>579</v>
      </c>
    </row>
    <row r="40" spans="1:15" ht="16.5" customHeight="1">
      <c r="A40" s="173" t="s">
        <v>383</v>
      </c>
      <c r="B40" s="196" t="s">
        <v>55</v>
      </c>
      <c r="C40" s="193" t="s">
        <v>6</v>
      </c>
      <c r="D40" s="197">
        <v>57.47</v>
      </c>
      <c r="E40" s="197">
        <f t="shared" si="16"/>
        <v>17.38</v>
      </c>
      <c r="F40" s="174">
        <v>57.47</v>
      </c>
      <c r="G40" s="174">
        <v>57.47</v>
      </c>
      <c r="H40" s="175">
        <f t="shared" si="17"/>
        <v>40.759113134331706</v>
      </c>
      <c r="I40" s="175">
        <f t="shared" si="18"/>
        <v>58.139113134331708</v>
      </c>
      <c r="J40" s="176">
        <v>57.47</v>
      </c>
      <c r="K40" s="177">
        <v>19.149999999999999</v>
      </c>
      <c r="L40" s="400">
        <v>19.728999999999999</v>
      </c>
      <c r="M40" s="144">
        <f t="shared" si="19"/>
        <v>0.57900000000000063</v>
      </c>
      <c r="N40" s="763">
        <f t="shared" si="4"/>
        <v>3.0234986945169737</v>
      </c>
      <c r="O40" s="431" t="s">
        <v>579</v>
      </c>
    </row>
    <row r="41" spans="1:15" ht="16.5" customHeight="1">
      <c r="A41" s="173" t="s">
        <v>384</v>
      </c>
      <c r="B41" s="196" t="s">
        <v>548</v>
      </c>
      <c r="C41" s="193" t="s">
        <v>58</v>
      </c>
      <c r="D41" s="197">
        <v>3</v>
      </c>
      <c r="E41" s="197">
        <f t="shared" si="16"/>
        <v>0.91</v>
      </c>
      <c r="F41" s="174">
        <v>3</v>
      </c>
      <c r="G41" s="174">
        <v>9.8000000000000007</v>
      </c>
      <c r="H41" s="175">
        <f t="shared" si="17"/>
        <v>6.9503968803976113</v>
      </c>
      <c r="I41" s="175">
        <f t="shared" si="18"/>
        <v>7.8603968803976114</v>
      </c>
      <c r="J41" s="176">
        <v>3</v>
      </c>
      <c r="K41" s="177">
        <v>15</v>
      </c>
      <c r="L41" s="400">
        <v>1.8</v>
      </c>
      <c r="M41" s="144">
        <f t="shared" si="19"/>
        <v>-13.2</v>
      </c>
      <c r="N41" s="763">
        <f t="shared" si="4"/>
        <v>-88</v>
      </c>
      <c r="O41" s="431" t="s">
        <v>579</v>
      </c>
    </row>
    <row r="42" spans="1:15" ht="30.75" customHeight="1">
      <c r="A42" s="173" t="s">
        <v>385</v>
      </c>
      <c r="B42" s="196" t="s">
        <v>549</v>
      </c>
      <c r="C42" s="826" t="s">
        <v>6</v>
      </c>
      <c r="D42" s="827">
        <v>15</v>
      </c>
      <c r="E42" s="827">
        <f t="shared" si="16"/>
        <v>4.54</v>
      </c>
      <c r="F42" s="820">
        <v>15</v>
      </c>
      <c r="G42" s="820">
        <v>34</v>
      </c>
      <c r="H42" s="821">
        <f t="shared" si="17"/>
        <v>24.113621829950894</v>
      </c>
      <c r="I42" s="821">
        <f t="shared" si="18"/>
        <v>28.653621829950893</v>
      </c>
      <c r="J42" s="822">
        <v>62.6</v>
      </c>
      <c r="K42" s="823">
        <v>10.53</v>
      </c>
      <c r="L42" s="824"/>
      <c r="M42" s="825">
        <f t="shared" si="19"/>
        <v>-10.53</v>
      </c>
      <c r="N42" s="816">
        <f t="shared" si="4"/>
        <v>-100</v>
      </c>
      <c r="O42" s="431" t="s">
        <v>579</v>
      </c>
    </row>
    <row r="43" spans="1:15" ht="16.5" customHeight="1">
      <c r="A43" s="173" t="s">
        <v>540</v>
      </c>
      <c r="B43" s="196" t="s">
        <v>550</v>
      </c>
      <c r="C43" s="193" t="s">
        <v>58</v>
      </c>
      <c r="D43" s="197"/>
      <c r="E43" s="197">
        <f t="shared" si="16"/>
        <v>0</v>
      </c>
      <c r="F43" s="174">
        <v>0</v>
      </c>
      <c r="G43" s="174"/>
      <c r="H43" s="175">
        <f t="shared" si="17"/>
        <v>0</v>
      </c>
      <c r="I43" s="175">
        <f t="shared" si="18"/>
        <v>0</v>
      </c>
      <c r="J43" s="176">
        <v>18</v>
      </c>
      <c r="K43" s="177">
        <v>294.14</v>
      </c>
      <c r="L43" s="400">
        <v>51.557000000000002</v>
      </c>
      <c r="M43" s="144">
        <f t="shared" si="19"/>
        <v>-242.58299999999997</v>
      </c>
      <c r="N43" s="763">
        <f t="shared" si="4"/>
        <v>-82.471952131637991</v>
      </c>
      <c r="O43" s="431" t="s">
        <v>579</v>
      </c>
    </row>
    <row r="44" spans="1:15" ht="18" customHeight="1">
      <c r="A44" s="173" t="s">
        <v>541</v>
      </c>
      <c r="B44" s="198" t="s">
        <v>147</v>
      </c>
      <c r="C44" s="199" t="s">
        <v>6</v>
      </c>
      <c r="D44" s="186">
        <f t="shared" ref="D44:M44" si="20">SUM(D45:D50)</f>
        <v>36.26</v>
      </c>
      <c r="E44" s="186">
        <f t="shared" si="20"/>
        <v>10.96</v>
      </c>
      <c r="F44" s="186">
        <f t="shared" si="20"/>
        <v>16.939999999999998</v>
      </c>
      <c r="G44" s="186">
        <f t="shared" si="20"/>
        <v>0</v>
      </c>
      <c r="H44" s="186">
        <f t="shared" si="20"/>
        <v>0</v>
      </c>
      <c r="I44" s="186">
        <f t="shared" si="20"/>
        <v>10.96</v>
      </c>
      <c r="J44" s="186">
        <f t="shared" si="20"/>
        <v>66.759999999999991</v>
      </c>
      <c r="K44" s="167">
        <f t="shared" si="20"/>
        <v>88.766999999999996</v>
      </c>
      <c r="L44" s="302">
        <f t="shared" si="20"/>
        <v>1.4999999999999999E-2</v>
      </c>
      <c r="M44" s="297">
        <f t="shared" si="20"/>
        <v>-88.751999999999981</v>
      </c>
      <c r="N44" s="763">
        <f t="shared" si="4"/>
        <v>-99.983101828382175</v>
      </c>
      <c r="O44" s="431"/>
    </row>
    <row r="45" spans="1:15" ht="16.5" customHeight="1">
      <c r="A45" s="173" t="s">
        <v>551</v>
      </c>
      <c r="B45" s="196" t="s">
        <v>378</v>
      </c>
      <c r="C45" s="193" t="s">
        <v>6</v>
      </c>
      <c r="D45" s="197">
        <v>20</v>
      </c>
      <c r="E45" s="197">
        <f>ROUND(D45*$E$59,2)</f>
        <v>6.05</v>
      </c>
      <c r="F45" s="174">
        <v>0</v>
      </c>
      <c r="G45" s="174"/>
      <c r="H45" s="175">
        <f>G45*$H$59</f>
        <v>0</v>
      </c>
      <c r="I45" s="175">
        <f t="shared" ref="I45:I50" si="21">E45+H45</f>
        <v>6.05</v>
      </c>
      <c r="J45" s="176">
        <v>50.5</v>
      </c>
      <c r="K45" s="177">
        <v>50.5</v>
      </c>
      <c r="L45" s="400"/>
      <c r="M45" s="144">
        <f>L45-K45</f>
        <v>-50.5</v>
      </c>
      <c r="N45" s="763">
        <f t="shared" si="4"/>
        <v>-100</v>
      </c>
      <c r="O45" s="431" t="s">
        <v>579</v>
      </c>
    </row>
    <row r="46" spans="1:15" ht="16.5" customHeight="1">
      <c r="A46" s="173" t="s">
        <v>552</v>
      </c>
      <c r="B46" s="170" t="s">
        <v>155</v>
      </c>
      <c r="C46" s="193" t="s">
        <v>6</v>
      </c>
      <c r="D46" s="197">
        <v>5.76</v>
      </c>
      <c r="E46" s="197">
        <f>ROUND(D46*$E$59,2)</f>
        <v>1.74</v>
      </c>
      <c r="F46" s="174">
        <v>5.76</v>
      </c>
      <c r="G46" s="174"/>
      <c r="H46" s="183"/>
      <c r="I46" s="175">
        <f t="shared" si="21"/>
        <v>1.74</v>
      </c>
      <c r="J46" s="176">
        <v>5.76</v>
      </c>
      <c r="K46" s="177">
        <v>5.76</v>
      </c>
      <c r="L46" s="400"/>
      <c r="M46" s="144">
        <f t="shared" ref="M46:M50" si="22">L46-K46</f>
        <v>-5.76</v>
      </c>
      <c r="N46" s="763">
        <f t="shared" si="4"/>
        <v>-100</v>
      </c>
      <c r="O46" s="431" t="s">
        <v>579</v>
      </c>
    </row>
    <row r="47" spans="1:15" ht="16.5" customHeight="1">
      <c r="A47" s="173" t="s">
        <v>553</v>
      </c>
      <c r="B47" s="170" t="s">
        <v>251</v>
      </c>
      <c r="C47" s="193" t="s">
        <v>6</v>
      </c>
      <c r="D47" s="197">
        <v>10.5</v>
      </c>
      <c r="E47" s="197">
        <f>ROUND(D47*$E$59,2)</f>
        <v>3.17</v>
      </c>
      <c r="F47" s="174">
        <v>10.5</v>
      </c>
      <c r="G47" s="174"/>
      <c r="H47" s="183"/>
      <c r="I47" s="175">
        <f t="shared" si="21"/>
        <v>3.17</v>
      </c>
      <c r="J47" s="176">
        <v>10.5</v>
      </c>
      <c r="K47" s="177">
        <v>10.5</v>
      </c>
      <c r="L47" s="400"/>
      <c r="M47" s="144">
        <f t="shared" si="22"/>
        <v>-10.5</v>
      </c>
      <c r="N47" s="763">
        <f t="shared" si="4"/>
        <v>-100</v>
      </c>
      <c r="O47" s="431" t="s">
        <v>579</v>
      </c>
    </row>
    <row r="48" spans="1:15" ht="16.5" customHeight="1">
      <c r="A48" s="173" t="s">
        <v>554</v>
      </c>
      <c r="B48" s="179" t="s">
        <v>379</v>
      </c>
      <c r="C48" s="193" t="s">
        <v>58</v>
      </c>
      <c r="D48" s="197"/>
      <c r="E48" s="197"/>
      <c r="F48" s="174"/>
      <c r="G48" s="174"/>
      <c r="H48" s="175"/>
      <c r="I48" s="175">
        <f t="shared" si="21"/>
        <v>0</v>
      </c>
      <c r="J48" s="176"/>
      <c r="K48" s="177">
        <v>2.1219999999999999</v>
      </c>
      <c r="L48" s="400"/>
      <c r="M48" s="144">
        <f t="shared" si="22"/>
        <v>-2.1219999999999999</v>
      </c>
      <c r="N48" s="763">
        <f t="shared" si="4"/>
        <v>-100</v>
      </c>
      <c r="O48" s="431" t="s">
        <v>579</v>
      </c>
    </row>
    <row r="49" spans="1:15" ht="16.5" customHeight="1">
      <c r="A49" s="173" t="s">
        <v>555</v>
      </c>
      <c r="B49" s="179" t="s">
        <v>564</v>
      </c>
      <c r="C49" s="193" t="s">
        <v>58</v>
      </c>
      <c r="D49" s="197"/>
      <c r="E49" s="197"/>
      <c r="F49" s="174">
        <v>0.68</v>
      </c>
      <c r="G49" s="174"/>
      <c r="H49" s="175"/>
      <c r="I49" s="175">
        <f t="shared" si="21"/>
        <v>0</v>
      </c>
      <c r="J49" s="176"/>
      <c r="K49" s="177">
        <v>0.69299999999999995</v>
      </c>
      <c r="L49" s="400">
        <v>1.4999999999999999E-2</v>
      </c>
      <c r="M49" s="144">
        <f t="shared" si="22"/>
        <v>-0.67799999999999994</v>
      </c>
      <c r="N49" s="763">
        <f t="shared" si="4"/>
        <v>-97.835497835497833</v>
      </c>
      <c r="O49" s="431" t="s">
        <v>579</v>
      </c>
    </row>
    <row r="50" spans="1:15" ht="35.25" customHeight="1">
      <c r="A50" s="817" t="s">
        <v>556</v>
      </c>
      <c r="B50" s="431" t="s">
        <v>380</v>
      </c>
      <c r="C50" s="826" t="s">
        <v>6</v>
      </c>
      <c r="D50" s="827"/>
      <c r="E50" s="827"/>
      <c r="F50" s="820"/>
      <c r="G50" s="820"/>
      <c r="H50" s="846"/>
      <c r="I50" s="821">
        <f t="shared" si="21"/>
        <v>0</v>
      </c>
      <c r="J50" s="822"/>
      <c r="K50" s="823">
        <v>19.192</v>
      </c>
      <c r="L50" s="824"/>
      <c r="M50" s="825">
        <f t="shared" si="22"/>
        <v>-19.192</v>
      </c>
      <c r="N50" s="816">
        <f t="shared" si="4"/>
        <v>-100</v>
      </c>
      <c r="O50" s="431" t="s">
        <v>579</v>
      </c>
    </row>
    <row r="51" spans="1:15" s="10" customFormat="1" ht="18" customHeight="1">
      <c r="A51" s="191" t="s">
        <v>135</v>
      </c>
      <c r="B51" s="192" t="s">
        <v>351</v>
      </c>
      <c r="C51" s="193" t="s">
        <v>6</v>
      </c>
      <c r="D51" s="166" t="e">
        <f>D5+D23</f>
        <v>#REF!</v>
      </c>
      <c r="E51" s="166" t="e">
        <f>E5+E23</f>
        <v>#REF!</v>
      </c>
      <c r="F51" s="167" t="e">
        <f>F5+F23</f>
        <v>#REF!</v>
      </c>
      <c r="G51" s="167" t="e">
        <f>G5+G23</f>
        <v>#REF!</v>
      </c>
      <c r="H51" s="200" t="e">
        <f>+H23+H5</f>
        <v>#REF!</v>
      </c>
      <c r="I51" s="183" t="e">
        <f>+I23+I5</f>
        <v>#REF!</v>
      </c>
      <c r="J51" s="184" t="e">
        <f>+J23+J5</f>
        <v>#REF!</v>
      </c>
      <c r="K51" s="167">
        <f>K5+K23</f>
        <v>19845.555</v>
      </c>
      <c r="L51" s="302">
        <f>L5+L23</f>
        <v>5354.3289999999997</v>
      </c>
      <c r="M51" s="297">
        <f>M5+M23</f>
        <v>-14491.226000000001</v>
      </c>
      <c r="N51" s="763">
        <f t="shared" si="4"/>
        <v>-73.020008762667516</v>
      </c>
      <c r="O51" s="431"/>
    </row>
    <row r="52" spans="1:15">
      <c r="A52" s="429"/>
      <c r="B52" s="201" t="s">
        <v>386</v>
      </c>
      <c r="C52" s="430"/>
      <c r="D52" s="172" t="e">
        <f>D53-D51</f>
        <v>#REF!</v>
      </c>
      <c r="E52" s="172" t="e">
        <f>E53-E51</f>
        <v>#REF!</v>
      </c>
      <c r="F52" s="167" t="e">
        <f>F53-F51</f>
        <v>#REF!</v>
      </c>
      <c r="G52" s="167" t="e">
        <f t="shared" ref="G52:L52" si="23">G53-G51</f>
        <v>#REF!</v>
      </c>
      <c r="H52" s="200" t="e">
        <f t="shared" si="23"/>
        <v>#REF!</v>
      </c>
      <c r="I52" s="183" t="e">
        <f t="shared" si="23"/>
        <v>#REF!</v>
      </c>
      <c r="J52" s="184" t="e">
        <f t="shared" si="23"/>
        <v>#REF!</v>
      </c>
      <c r="K52" s="167">
        <f t="shared" si="23"/>
        <v>0</v>
      </c>
      <c r="L52" s="302">
        <f t="shared" si="23"/>
        <v>-4829.5260399999997</v>
      </c>
      <c r="M52" s="224"/>
      <c r="N52" s="763"/>
      <c r="O52" s="431"/>
    </row>
    <row r="53" spans="1:15" s="10" customFormat="1" ht="23.25" customHeight="1">
      <c r="A53" s="429"/>
      <c r="B53" s="202" t="s">
        <v>62</v>
      </c>
      <c r="C53" s="430" t="s">
        <v>6</v>
      </c>
      <c r="D53" s="172">
        <v>12820.23</v>
      </c>
      <c r="E53" s="172">
        <f>E54*E62</f>
        <v>3876.15924</v>
      </c>
      <c r="F53" s="167">
        <f>F54*F62</f>
        <v>3876.15924</v>
      </c>
      <c r="G53" s="167">
        <v>18717.77</v>
      </c>
      <c r="H53" s="200">
        <f>H54*H62</f>
        <v>13275.09492</v>
      </c>
      <c r="I53" s="183">
        <f t="shared" ref="I53:I58" si="24">E53+H53</f>
        <v>17151.25416</v>
      </c>
      <c r="J53" s="184">
        <f>'[5]По ПУ АФ (компенсир.) '!E31</f>
        <v>16814.082900000001</v>
      </c>
      <c r="K53" s="167">
        <v>19845.555</v>
      </c>
      <c r="L53" s="302">
        <f>L54*L62</f>
        <v>524.80295999999998</v>
      </c>
      <c r="M53" s="712"/>
      <c r="N53" s="764"/>
      <c r="O53" s="431"/>
    </row>
    <row r="54" spans="1:15" s="10" customFormat="1" ht="14.25" customHeight="1">
      <c r="A54" s="429" t="s">
        <v>65</v>
      </c>
      <c r="B54" s="182" t="s">
        <v>353</v>
      </c>
      <c r="C54" s="430" t="s">
        <v>97</v>
      </c>
      <c r="D54" s="172">
        <v>40315.199999999997</v>
      </c>
      <c r="E54" s="203">
        <f>33.611+11608.867+546.702</f>
        <v>12189.18</v>
      </c>
      <c r="F54" s="168">
        <f>SUM(F55:F57)</f>
        <v>12189.18</v>
      </c>
      <c r="G54" s="167">
        <v>40315.199999999997</v>
      </c>
      <c r="H54" s="183">
        <v>28858.901999999998</v>
      </c>
      <c r="I54" s="183">
        <f t="shared" si="24"/>
        <v>41048.081999999995</v>
      </c>
      <c r="J54" s="184">
        <f>'[5]По ПУ АФ (компенсир.) '!C31</f>
        <v>40315.100999999995</v>
      </c>
      <c r="K54" s="184">
        <v>40315.1</v>
      </c>
      <c r="L54" s="302">
        <v>1140.876</v>
      </c>
      <c r="M54" s="712"/>
      <c r="N54" s="764"/>
      <c r="O54" s="765"/>
    </row>
    <row r="55" spans="1:15" s="207" customFormat="1" ht="15" hidden="1" customHeight="1">
      <c r="A55" s="148"/>
      <c r="B55" s="204" t="s">
        <v>387</v>
      </c>
      <c r="C55" s="146" t="s">
        <v>97</v>
      </c>
      <c r="D55" s="205"/>
      <c r="E55" s="206"/>
      <c r="F55" s="168">
        <f>33.611+11608.867</f>
        <v>11642.478000000001</v>
      </c>
      <c r="G55" s="167"/>
      <c r="H55" s="183"/>
      <c r="I55" s="183">
        <f t="shared" si="24"/>
        <v>0</v>
      </c>
      <c r="J55" s="184"/>
      <c r="K55" s="188">
        <f>L55</f>
        <v>0</v>
      </c>
      <c r="L55" s="298"/>
      <c r="M55" s="766"/>
      <c r="N55" s="767"/>
      <c r="O55" s="768"/>
    </row>
    <row r="56" spans="1:15" s="207" customFormat="1" ht="15" hidden="1" customHeight="1">
      <c r="A56" s="148"/>
      <c r="B56" s="204" t="s">
        <v>388</v>
      </c>
      <c r="C56" s="430" t="s">
        <v>97</v>
      </c>
      <c r="D56" s="205"/>
      <c r="E56" s="206"/>
      <c r="F56" s="168">
        <v>546.702</v>
      </c>
      <c r="G56" s="167"/>
      <c r="H56" s="183"/>
      <c r="I56" s="183">
        <f t="shared" si="24"/>
        <v>0</v>
      </c>
      <c r="J56" s="184"/>
      <c r="K56" s="188">
        <f>L56</f>
        <v>0</v>
      </c>
      <c r="L56" s="298"/>
      <c r="M56" s="766"/>
      <c r="N56" s="767"/>
      <c r="O56" s="768"/>
    </row>
    <row r="57" spans="1:15" s="207" customFormat="1" ht="15" hidden="1" customHeight="1">
      <c r="A57" s="148"/>
      <c r="B57" s="204" t="s">
        <v>389</v>
      </c>
      <c r="C57" s="146" t="s">
        <v>97</v>
      </c>
      <c r="D57" s="205"/>
      <c r="E57" s="206"/>
      <c r="F57" s="167"/>
      <c r="G57" s="167"/>
      <c r="H57" s="183"/>
      <c r="I57" s="183">
        <f t="shared" si="24"/>
        <v>0</v>
      </c>
      <c r="J57" s="184"/>
      <c r="K57" s="188">
        <f>L57</f>
        <v>0</v>
      </c>
      <c r="L57" s="298"/>
      <c r="M57" s="766"/>
      <c r="N57" s="767"/>
      <c r="O57" s="768"/>
    </row>
    <row r="58" spans="1:15" s="10" customFormat="1" ht="15" hidden="1" customHeight="1">
      <c r="A58" s="429"/>
      <c r="B58" s="208" t="s">
        <v>171</v>
      </c>
      <c r="C58" s="430" t="s">
        <v>97</v>
      </c>
      <c r="D58" s="209"/>
      <c r="E58" s="210"/>
      <c r="F58" s="211"/>
      <c r="G58" s="211"/>
      <c r="H58" s="183"/>
      <c r="I58" s="183">
        <f t="shared" si="24"/>
        <v>0</v>
      </c>
      <c r="J58" s="212"/>
      <c r="K58" s="189" t="e">
        <f>#REF!</f>
        <v>#REF!</v>
      </c>
      <c r="L58" s="402"/>
      <c r="M58" s="712"/>
      <c r="N58" s="764"/>
      <c r="O58" s="765"/>
    </row>
    <row r="59" spans="1:15" s="219" customFormat="1" ht="15" hidden="1" customHeight="1">
      <c r="A59" s="214"/>
      <c r="B59" s="215" t="s">
        <v>355</v>
      </c>
      <c r="C59" s="216"/>
      <c r="D59" s="217"/>
      <c r="E59" s="218">
        <f>E54/D54</f>
        <v>0.30234700559590433</v>
      </c>
      <c r="F59" s="211"/>
      <c r="G59" s="211"/>
      <c r="H59" s="183">
        <f>H53/G53</f>
        <v>0.70922417146914396</v>
      </c>
      <c r="I59" s="183"/>
      <c r="J59" s="212"/>
      <c r="K59" s="213"/>
      <c r="L59" s="402"/>
      <c r="M59" s="769"/>
      <c r="N59" s="770"/>
      <c r="O59" s="771"/>
    </row>
    <row r="60" spans="1:15" ht="20.25" customHeight="1">
      <c r="A60" s="955" t="s">
        <v>390</v>
      </c>
      <c r="B60" s="958" t="s">
        <v>156</v>
      </c>
      <c r="C60" s="430" t="s">
        <v>157</v>
      </c>
      <c r="D60" s="220">
        <v>26</v>
      </c>
      <c r="E60" s="209"/>
      <c r="F60" s="211"/>
      <c r="G60" s="221">
        <v>23.2</v>
      </c>
      <c r="H60" s="222">
        <v>23.2</v>
      </c>
      <c r="I60" s="222">
        <f>E60+H60</f>
        <v>23.2</v>
      </c>
      <c r="J60" s="223">
        <v>23.2</v>
      </c>
      <c r="K60" s="225">
        <v>23.2</v>
      </c>
      <c r="L60" s="403">
        <v>21</v>
      </c>
      <c r="M60" s="224"/>
      <c r="N60" s="763"/>
      <c r="O60" s="772"/>
    </row>
    <row r="61" spans="1:15" ht="21.75" customHeight="1">
      <c r="A61" s="955"/>
      <c r="B61" s="959"/>
      <c r="C61" s="430" t="s">
        <v>97</v>
      </c>
      <c r="D61" s="209">
        <v>14164.8</v>
      </c>
      <c r="E61" s="209"/>
      <c r="F61" s="211"/>
      <c r="G61" s="211">
        <v>12181.54</v>
      </c>
      <c r="H61" s="183">
        <v>12181.54</v>
      </c>
      <c r="I61" s="183">
        <f>E61+H61</f>
        <v>12181.54</v>
      </c>
      <c r="J61" s="212">
        <v>12181.54</v>
      </c>
      <c r="K61" s="226">
        <v>12181.54</v>
      </c>
      <c r="L61" s="302">
        <v>302.35700000000003</v>
      </c>
      <c r="M61" s="224"/>
      <c r="N61" s="763"/>
      <c r="O61" s="772"/>
    </row>
    <row r="62" spans="1:15" ht="15" customHeight="1">
      <c r="A62" s="163" t="s">
        <v>69</v>
      </c>
      <c r="B62" s="192" t="s">
        <v>166</v>
      </c>
      <c r="C62" s="165" t="s">
        <v>99</v>
      </c>
      <c r="D62" s="227">
        <f>D53/D54</f>
        <v>0.31799991070365519</v>
      </c>
      <c r="E62" s="227">
        <v>0.318</v>
      </c>
      <c r="F62" s="228">
        <v>0.318</v>
      </c>
      <c r="G62" s="211">
        <f>G53/G54</f>
        <v>0.46428567885065686</v>
      </c>
      <c r="H62" s="183">
        <v>0.46</v>
      </c>
      <c r="I62" s="183" t="s">
        <v>391</v>
      </c>
      <c r="J62" s="184" t="s">
        <v>391</v>
      </c>
      <c r="K62" s="185">
        <v>0.49199999999999999</v>
      </c>
      <c r="L62" s="302">
        <v>0.46</v>
      </c>
      <c r="M62" s="224"/>
      <c r="N62" s="773"/>
      <c r="O62" s="774"/>
    </row>
    <row r="63" spans="1:15" hidden="1">
      <c r="A63" s="229"/>
      <c r="B63" s="230"/>
      <c r="C63" s="231"/>
      <c r="D63" s="232"/>
      <c r="E63" s="232"/>
      <c r="F63" s="233"/>
      <c r="G63" s="233"/>
      <c r="H63" s="234"/>
      <c r="I63" s="234"/>
      <c r="J63" s="235"/>
      <c r="K63" s="236"/>
      <c r="L63" s="404">
        <v>0.318</v>
      </c>
      <c r="M63" s="224"/>
      <c r="N63" s="763"/>
      <c r="O63" s="775"/>
    </row>
    <row r="64" spans="1:15" hidden="1">
      <c r="C64" s="237"/>
      <c r="K64" s="236"/>
      <c r="M64" s="224"/>
      <c r="N64" s="699"/>
      <c r="O64" s="344"/>
    </row>
    <row r="65" spans="1:15">
      <c r="A65" s="238"/>
      <c r="B65" s="239" t="s">
        <v>392</v>
      </c>
      <c r="C65" s="240"/>
      <c r="D65" s="241"/>
      <c r="E65" s="241"/>
      <c r="F65" s="242"/>
      <c r="G65" s="242"/>
      <c r="H65" s="243"/>
      <c r="I65" s="243"/>
      <c r="J65" s="235"/>
      <c r="K65" s="236"/>
      <c r="L65" s="405"/>
      <c r="M65" s="224"/>
      <c r="N65" s="763"/>
      <c r="O65" s="775"/>
    </row>
    <row r="66" spans="1:15" ht="29.25" customHeight="1">
      <c r="A66" s="429">
        <v>8</v>
      </c>
      <c r="B66" s="182" t="s">
        <v>136</v>
      </c>
      <c r="C66" s="429" t="s">
        <v>102</v>
      </c>
      <c r="D66" s="244">
        <v>22</v>
      </c>
      <c r="E66" s="244"/>
      <c r="F66" s="245"/>
      <c r="G66" s="245">
        <v>22</v>
      </c>
      <c r="H66" s="184">
        <v>22</v>
      </c>
      <c r="I66" s="184">
        <f>E66+H66</f>
        <v>22</v>
      </c>
      <c r="J66" s="212">
        <v>22</v>
      </c>
      <c r="K66" s="226">
        <f>I66</f>
        <v>22</v>
      </c>
      <c r="L66" s="406">
        <f>J66</f>
        <v>22</v>
      </c>
      <c r="M66" s="224"/>
      <c r="N66" s="763"/>
      <c r="O66" s="775"/>
    </row>
    <row r="67" spans="1:15">
      <c r="A67" s="246" t="s">
        <v>300</v>
      </c>
      <c r="B67" s="247" t="s">
        <v>297</v>
      </c>
      <c r="C67" s="169" t="s">
        <v>102</v>
      </c>
      <c r="D67" s="248">
        <v>16</v>
      </c>
      <c r="E67" s="248"/>
      <c r="F67" s="249"/>
      <c r="G67" s="249">
        <v>16</v>
      </c>
      <c r="H67" s="176">
        <v>16</v>
      </c>
      <c r="I67" s="176">
        <f>E67+H67</f>
        <v>16</v>
      </c>
      <c r="J67" s="250">
        <v>16</v>
      </c>
      <c r="K67" s="144">
        <f>I67</f>
        <v>16</v>
      </c>
      <c r="L67" s="407">
        <v>10</v>
      </c>
      <c r="M67" s="224"/>
      <c r="N67" s="763"/>
      <c r="O67" s="775"/>
    </row>
    <row r="68" spans="1:15">
      <c r="A68" s="246" t="s">
        <v>301</v>
      </c>
      <c r="B68" s="247" t="s">
        <v>298</v>
      </c>
      <c r="C68" s="169" t="s">
        <v>102</v>
      </c>
      <c r="D68" s="248">
        <v>6</v>
      </c>
      <c r="E68" s="248"/>
      <c r="F68" s="249"/>
      <c r="G68" s="249">
        <v>6</v>
      </c>
      <c r="H68" s="176">
        <v>6</v>
      </c>
      <c r="I68" s="176">
        <f>E68+H68</f>
        <v>6</v>
      </c>
      <c r="J68" s="250">
        <v>6</v>
      </c>
      <c r="K68" s="144">
        <f>I68</f>
        <v>6</v>
      </c>
      <c r="L68" s="407">
        <v>6</v>
      </c>
      <c r="M68" s="224"/>
      <c r="N68" s="763"/>
      <c r="O68" s="775"/>
    </row>
    <row r="69" spans="1:15" ht="15" customHeight="1">
      <c r="A69" s="251" t="s">
        <v>357</v>
      </c>
      <c r="B69" s="182" t="s">
        <v>137</v>
      </c>
      <c r="C69" s="429" t="s">
        <v>105</v>
      </c>
      <c r="D69" s="244"/>
      <c r="E69" s="244"/>
      <c r="F69" s="245"/>
      <c r="G69" s="245">
        <v>58187</v>
      </c>
      <c r="H69" s="184"/>
      <c r="I69" s="184"/>
      <c r="J69" s="212">
        <f>AVERAGE(J70:J71)</f>
        <v>50822.5</v>
      </c>
      <c r="K69" s="361">
        <v>60294</v>
      </c>
      <c r="L69" s="408">
        <f>AVERAGE(L70:L71)</f>
        <v>73002.229166666672</v>
      </c>
      <c r="M69" s="224"/>
      <c r="N69" s="763"/>
      <c r="O69" s="775"/>
    </row>
    <row r="70" spans="1:15">
      <c r="A70" s="246" t="s">
        <v>358</v>
      </c>
      <c r="B70" s="247" t="s">
        <v>297</v>
      </c>
      <c r="C70" s="169" t="s">
        <v>105</v>
      </c>
      <c r="D70" s="248">
        <v>35812</v>
      </c>
      <c r="E70" s="248"/>
      <c r="F70" s="249"/>
      <c r="G70" s="249">
        <v>40004</v>
      </c>
      <c r="H70" s="176"/>
      <c r="I70" s="176"/>
      <c r="J70" s="235">
        <v>38070</v>
      </c>
      <c r="K70" s="362">
        <v>60577</v>
      </c>
      <c r="L70" s="407">
        <f>L13/4/L67*1000</f>
        <v>65353.125000000007</v>
      </c>
      <c r="M70" s="224"/>
      <c r="N70" s="763"/>
      <c r="O70" s="775"/>
    </row>
    <row r="71" spans="1:15">
      <c r="A71" s="246" t="s">
        <v>393</v>
      </c>
      <c r="B71" s="247" t="s">
        <v>298</v>
      </c>
      <c r="C71" s="169" t="s">
        <v>105</v>
      </c>
      <c r="D71" s="248">
        <v>58784</v>
      </c>
      <c r="E71" s="248"/>
      <c r="F71" s="249"/>
      <c r="G71" s="249">
        <v>80006</v>
      </c>
      <c r="H71" s="252"/>
      <c r="I71" s="252"/>
      <c r="J71" s="235">
        <v>63575</v>
      </c>
      <c r="K71" s="362">
        <v>80006</v>
      </c>
      <c r="L71" s="407">
        <f>L25/4/L68*1000</f>
        <v>80651.333333333343</v>
      </c>
      <c r="M71" s="224"/>
      <c r="N71" s="763"/>
      <c r="O71" s="775"/>
    </row>
    <row r="72" spans="1:15">
      <c r="A72" s="352"/>
      <c r="B72" s="353"/>
      <c r="C72" s="354"/>
      <c r="D72" s="355"/>
      <c r="E72" s="355"/>
      <c r="F72" s="356"/>
      <c r="G72" s="356"/>
      <c r="H72" s="357"/>
      <c r="I72" s="357"/>
      <c r="J72" s="358"/>
      <c r="K72" s="356"/>
      <c r="L72" s="409"/>
      <c r="M72" s="359"/>
      <c r="N72" s="776"/>
      <c r="O72" s="777"/>
    </row>
    <row r="73" spans="1:15">
      <c r="A73" s="352"/>
      <c r="B73" s="353"/>
      <c r="C73" s="354"/>
      <c r="D73" s="355"/>
      <c r="E73" s="355"/>
      <c r="F73" s="356"/>
      <c r="G73" s="356"/>
      <c r="H73" s="357"/>
      <c r="I73" s="357"/>
      <c r="J73" s="358"/>
      <c r="K73" s="356"/>
      <c r="L73" s="409"/>
      <c r="M73" s="359"/>
      <c r="N73" s="776"/>
      <c r="O73" s="777"/>
    </row>
    <row r="74" spans="1:15" ht="21" customHeight="1">
      <c r="A74" s="960" t="s">
        <v>518</v>
      </c>
      <c r="B74" s="960"/>
      <c r="C74" s="960"/>
      <c r="D74" s="960"/>
      <c r="E74" s="960"/>
      <c r="F74" s="960"/>
      <c r="G74" s="960"/>
      <c r="H74" s="960"/>
      <c r="I74" s="960"/>
      <c r="J74" s="960"/>
      <c r="K74" s="960"/>
      <c r="L74" s="410"/>
      <c r="M74" s="778" t="s">
        <v>304</v>
      </c>
      <c r="N74" s="696"/>
      <c r="O74" s="697"/>
    </row>
    <row r="75" spans="1:15">
      <c r="A75" s="255"/>
      <c r="B75" s="255"/>
      <c r="C75" s="253"/>
      <c r="D75" s="253"/>
      <c r="E75" s="253"/>
      <c r="F75" s="254"/>
      <c r="G75" s="254"/>
      <c r="H75" s="256"/>
      <c r="I75" s="256"/>
      <c r="L75" s="410"/>
      <c r="N75" s="778"/>
      <c r="O75" s="697"/>
    </row>
    <row r="76" spans="1:15">
      <c r="A76" s="863" t="s">
        <v>71</v>
      </c>
      <c r="B76" s="863"/>
      <c r="C76" s="864"/>
      <c r="D76" s="864"/>
      <c r="E76" s="864"/>
      <c r="F76" s="865"/>
      <c r="G76" s="865"/>
      <c r="H76" s="866"/>
      <c r="I76" s="866"/>
      <c r="J76" s="851"/>
      <c r="K76" s="851"/>
      <c r="L76" s="867"/>
      <c r="M76" s="868" t="s">
        <v>595</v>
      </c>
      <c r="N76" s="778"/>
      <c r="O76" s="697"/>
    </row>
    <row r="77" spans="1:15">
      <c r="A77" s="255"/>
      <c r="B77" s="255"/>
      <c r="C77" s="253"/>
      <c r="D77" s="253"/>
      <c r="E77" s="253"/>
      <c r="F77" s="254"/>
      <c r="G77" s="254"/>
      <c r="H77" s="256"/>
      <c r="I77" s="256"/>
      <c r="L77" s="410"/>
      <c r="N77" s="778"/>
      <c r="O77" s="697"/>
    </row>
    <row r="78" spans="1:15" s="160" customFormat="1">
      <c r="A78" s="954" t="s">
        <v>72</v>
      </c>
      <c r="B78" s="954"/>
      <c r="C78" s="954"/>
      <c r="D78" s="257"/>
      <c r="E78" s="257"/>
      <c r="F78" s="258"/>
      <c r="G78" s="258"/>
      <c r="H78" s="259" t="s">
        <v>169</v>
      </c>
      <c r="I78" s="260"/>
      <c r="J78" s="161"/>
      <c r="K78" s="161"/>
      <c r="L78" s="411"/>
      <c r="M78" s="778" t="s">
        <v>169</v>
      </c>
    </row>
    <row r="79" spans="1:15" s="160" customFormat="1">
      <c r="A79" s="261"/>
      <c r="B79" s="262"/>
      <c r="C79" s="262"/>
      <c r="D79" s="262"/>
      <c r="E79" s="262"/>
      <c r="F79" s="262"/>
      <c r="G79" s="262"/>
      <c r="H79" s="261"/>
      <c r="I79" s="261"/>
      <c r="J79" s="161"/>
      <c r="K79" s="161"/>
      <c r="L79" s="412"/>
      <c r="M79" s="161"/>
      <c r="N79" s="696"/>
      <c r="O79" s="697"/>
    </row>
    <row r="80" spans="1:15" s="160" customFormat="1">
      <c r="A80" s="261" t="s">
        <v>589</v>
      </c>
      <c r="B80" s="262"/>
      <c r="C80" s="262"/>
      <c r="D80" s="262"/>
      <c r="E80" s="262"/>
      <c r="F80" s="262"/>
      <c r="G80" s="262"/>
      <c r="H80" s="261"/>
      <c r="I80" s="261"/>
      <c r="J80" s="161"/>
      <c r="K80" s="161"/>
      <c r="L80" s="412"/>
      <c r="M80" s="851" t="s">
        <v>590</v>
      </c>
      <c r="N80" s="696"/>
      <c r="O80" s="697"/>
    </row>
    <row r="81" spans="1:15" s="160" customFormat="1">
      <c r="A81" s="262"/>
      <c r="B81" s="262"/>
      <c r="C81" s="262"/>
      <c r="D81" s="262"/>
      <c r="E81" s="262"/>
      <c r="F81" s="262"/>
      <c r="G81" s="262"/>
      <c r="H81" s="262"/>
      <c r="I81" s="262"/>
      <c r="J81" s="161"/>
      <c r="K81" s="161"/>
      <c r="L81" s="412"/>
      <c r="M81" s="161"/>
      <c r="N81" s="696"/>
      <c r="O81" s="697"/>
    </row>
    <row r="82" spans="1:15">
      <c r="A82" s="76" t="s">
        <v>108</v>
      </c>
      <c r="B82" s="76" t="s">
        <v>505</v>
      </c>
      <c r="N82" s="696"/>
      <c r="O82" s="697"/>
    </row>
    <row r="83" spans="1:15" s="160" customFormat="1">
      <c r="A83" s="65"/>
      <c r="B83" s="76" t="s">
        <v>109</v>
      </c>
      <c r="F83" s="161"/>
      <c r="G83" s="161"/>
      <c r="H83" s="263"/>
      <c r="I83" s="263"/>
      <c r="J83" s="161"/>
      <c r="K83" s="161"/>
      <c r="L83" s="399"/>
      <c r="M83" s="161"/>
      <c r="N83" s="696"/>
      <c r="O83" s="697"/>
    </row>
    <row r="84" spans="1:15">
      <c r="B84" s="76" t="s">
        <v>592</v>
      </c>
      <c r="N84" s="696"/>
      <c r="O84" s="697"/>
    </row>
    <row r="85" spans="1:15">
      <c r="N85" s="696"/>
      <c r="O85" s="697"/>
    </row>
    <row r="86" spans="1:15">
      <c r="N86" s="696"/>
      <c r="O86" s="697"/>
    </row>
  </sheetData>
  <mergeCells count="16">
    <mergeCell ref="A78:C78"/>
    <mergeCell ref="J3:J4"/>
    <mergeCell ref="L3:L4"/>
    <mergeCell ref="A60:A61"/>
    <mergeCell ref="A3:A4"/>
    <mergeCell ref="B3:B4"/>
    <mergeCell ref="B60:B61"/>
    <mergeCell ref="A74:K74"/>
    <mergeCell ref="A1:O1"/>
    <mergeCell ref="K3:K4"/>
    <mergeCell ref="O3:O4"/>
    <mergeCell ref="M3:N3"/>
    <mergeCell ref="C3:C4"/>
    <mergeCell ref="D3:F3"/>
    <mergeCell ref="G3:H3"/>
    <mergeCell ref="I3:I4"/>
  </mergeCells>
  <pageMargins left="0.78740157480314965" right="0.35433070866141736" top="0.55118110236220474" bottom="0.39370078740157483" header="0.31496062992125984" footer="0.31496062992125984"/>
  <pageSetup paperSize="9" scale="5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13</vt:i4>
      </vt:variant>
    </vt:vector>
  </HeadingPairs>
  <TitlesOfParts>
    <vt:vector size="23" baseType="lpstr">
      <vt:lpstr>Панфилов</vt:lpstr>
      <vt:lpstr>Каратал</vt:lpstr>
      <vt:lpstr>Алмалы,Ащыбулак</vt:lpstr>
      <vt:lpstr>Акешки</vt:lpstr>
      <vt:lpstr>Аксу</vt:lpstr>
      <vt:lpstr>Алаколь </vt:lpstr>
      <vt:lpstr>Коксу</vt:lpstr>
      <vt:lpstr>Ескельды </vt:lpstr>
      <vt:lpstr>Талдык</vt:lpstr>
      <vt:lpstr>Уйгур </vt:lpstr>
      <vt:lpstr>Акешки!Заголовки_для_печати</vt:lpstr>
      <vt:lpstr>'Алаколь '!Заголовки_для_печати</vt:lpstr>
      <vt:lpstr>'Алмалы,Ащыбулак'!Заголовки_для_печати</vt:lpstr>
      <vt:lpstr>Каратал!Заголовки_для_печати</vt:lpstr>
      <vt:lpstr>Аксу!Область_печати</vt:lpstr>
      <vt:lpstr>'Алаколь '!Область_печати</vt:lpstr>
      <vt:lpstr>'Алмалы,Ащыбулак'!Область_печати</vt:lpstr>
      <vt:lpstr>'Ескельды '!Область_печати</vt:lpstr>
      <vt:lpstr>Каратал!Область_печати</vt:lpstr>
      <vt:lpstr>Коксу!Область_печати</vt:lpstr>
      <vt:lpstr>Панфилов!Область_печати</vt:lpstr>
      <vt:lpstr>Талдык!Область_печати</vt:lpstr>
      <vt:lpstr>'Уйгур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Жазира</dc:creator>
  <cp:lastModifiedBy>Admin</cp:lastModifiedBy>
  <cp:lastPrinted>2017-06-14T09:41:58Z</cp:lastPrinted>
  <dcterms:created xsi:type="dcterms:W3CDTF">2016-01-21T04:55:03Z</dcterms:created>
  <dcterms:modified xsi:type="dcterms:W3CDTF">2017-06-14T10:32:05Z</dcterms:modified>
</cp:coreProperties>
</file>