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65" windowWidth="9555" windowHeight="2205"/>
  </bookViews>
  <sheets>
    <sheet name="01.06.2018 прямая " sheetId="24" r:id="rId1"/>
    <sheet name="01.06.2018 ТМЗ " sheetId="25" r:id="rId2"/>
    <sheet name="Каракыст 01.06.2018" sheetId="26" r:id="rId3"/>
    <sheet name="Тасоткел 01.06.2018" sheetId="27" r:id="rId4"/>
    <sheet name="01.06.20181-ВХ" sheetId="28" r:id="rId5"/>
  </sheets>
  <definedNames>
    <definedName name="_xlnm.Print_Area" localSheetId="1">'01.06.2018 ТМЗ '!$A$1:$H$96</definedName>
    <definedName name="_xlnm.Print_Area" localSheetId="2">'Каракыст 01.06.2018'!$A$1:$G$92</definedName>
    <definedName name="_xlnm.Print_Area" localSheetId="3">'Тасоткел 01.06.2018'!$A$1:$F$91</definedName>
  </definedNames>
  <calcPr calcId="144525"/>
</workbook>
</file>

<file path=xl/calcChain.xml><?xml version="1.0" encoding="utf-8"?>
<calcChain xmlns="http://schemas.openxmlformats.org/spreadsheetml/2006/main">
  <c r="AF6" i="24" l="1"/>
  <c r="AI12" i="24" l="1"/>
  <c r="AI13" i="24"/>
  <c r="AI18" i="24"/>
  <c r="AH7" i="24"/>
  <c r="AG9" i="24" l="1"/>
  <c r="AI9" i="24" s="1"/>
  <c r="AG10" i="24"/>
  <c r="AI10" i="24" s="1"/>
  <c r="D57" i="28"/>
  <c r="B57" i="28"/>
  <c r="B54" i="28"/>
  <c r="D53" i="28"/>
  <c r="D52" i="28"/>
  <c r="D51" i="28"/>
  <c r="D49" i="28"/>
  <c r="C85" i="28"/>
  <c r="B81" i="28"/>
  <c r="D80" i="28"/>
  <c r="D81" i="28" s="1"/>
  <c r="D79" i="28"/>
  <c r="I76" i="28"/>
  <c r="G76" i="28"/>
  <c r="B76" i="28"/>
  <c r="D75" i="28"/>
  <c r="D76" i="28" s="1"/>
  <c r="D74" i="28"/>
  <c r="K71" i="28"/>
  <c r="J71" i="28"/>
  <c r="B71" i="28"/>
  <c r="D70" i="28"/>
  <c r="D71" i="28" s="1"/>
  <c r="B67" i="28"/>
  <c r="D66" i="28"/>
  <c r="D65" i="28"/>
  <c r="D67" i="28" s="1"/>
  <c r="B61" i="28"/>
  <c r="B60" i="28"/>
  <c r="B59" i="28"/>
  <c r="B58" i="28"/>
  <c r="B45" i="28"/>
  <c r="D44" i="28"/>
  <c r="D43" i="28"/>
  <c r="D42" i="28"/>
  <c r="D40" i="28"/>
  <c r="B37" i="28"/>
  <c r="D36" i="28"/>
  <c r="D37" i="28" s="1"/>
  <c r="B33" i="28"/>
  <c r="D32" i="28"/>
  <c r="D31" i="28"/>
  <c r="D59" i="28" s="1"/>
  <c r="D30" i="28"/>
  <c r="D29" i="28"/>
  <c r="D28" i="28"/>
  <c r="B25" i="28"/>
  <c r="D24" i="28"/>
  <c r="D23" i="28"/>
  <c r="D25" i="28" s="1"/>
  <c r="B20" i="28"/>
  <c r="D19" i="28"/>
  <c r="D18" i="28"/>
  <c r="D17" i="28"/>
  <c r="D16" i="28"/>
  <c r="B13" i="28"/>
  <c r="D12" i="28"/>
  <c r="D61" i="28" s="1"/>
  <c r="D11" i="28"/>
  <c r="D58" i="28" s="1"/>
  <c r="D10" i="28"/>
  <c r="B7" i="28"/>
  <c r="D6" i="28"/>
  <c r="D5" i="28"/>
  <c r="D4" i="28"/>
  <c r="F74" i="27"/>
  <c r="F73" i="27"/>
  <c r="F51" i="27"/>
  <c r="F50" i="27"/>
  <c r="F49" i="27"/>
  <c r="E42" i="27"/>
  <c r="E41" i="27" s="1"/>
  <c r="E71" i="27" s="1"/>
  <c r="D42" i="27"/>
  <c r="D41" i="27" s="1"/>
  <c r="AI99" i="24"/>
  <c r="AH99" i="24"/>
  <c r="AI98" i="24"/>
  <c r="AH98" i="24"/>
  <c r="D78" i="26"/>
  <c r="E42" i="26"/>
  <c r="E41" i="26" s="1"/>
  <c r="D42" i="26"/>
  <c r="D41" i="26"/>
  <c r="AH95" i="24"/>
  <c r="AH96" i="24" s="1"/>
  <c r="AI95" i="24"/>
  <c r="AI94" i="24"/>
  <c r="AH94" i="24"/>
  <c r="AM95" i="24"/>
  <c r="AM96" i="24" s="1"/>
  <c r="AK96" i="24"/>
  <c r="AK97" i="24" s="1"/>
  <c r="F42" i="25"/>
  <c r="E81" i="25"/>
  <c r="E82" i="25"/>
  <c r="E78" i="25"/>
  <c r="E77" i="25"/>
  <c r="E76" i="25"/>
  <c r="E75" i="25"/>
  <c r="E74" i="25"/>
  <c r="E73" i="25"/>
  <c r="E72" i="25"/>
  <c r="E71" i="25"/>
  <c r="E70" i="25"/>
  <c r="E62" i="25"/>
  <c r="E51" i="25"/>
  <c r="E50" i="25"/>
  <c r="E49" i="25"/>
  <c r="E69" i="25"/>
  <c r="E42" i="25"/>
  <c r="F69" i="25"/>
  <c r="D69" i="25"/>
  <c r="F65" i="25"/>
  <c r="F60" i="25"/>
  <c r="D42" i="25"/>
  <c r="D41" i="25"/>
  <c r="D79" i="25" s="1"/>
  <c r="D86" i="25" s="1"/>
  <c r="AG54" i="24"/>
  <c r="AI54" i="24" s="1"/>
  <c r="AG52" i="24"/>
  <c r="AG50" i="24"/>
  <c r="AI50" i="24" s="1"/>
  <c r="AG49" i="24"/>
  <c r="AI49" i="24" s="1"/>
  <c r="AG48" i="24"/>
  <c r="AI48" i="24" s="1"/>
  <c r="AG46" i="24"/>
  <c r="AI46" i="24" s="1"/>
  <c r="AG45" i="24"/>
  <c r="AI45" i="24" s="1"/>
  <c r="AG44" i="24"/>
  <c r="AI44" i="24" s="1"/>
  <c r="AG43" i="24"/>
  <c r="AI43" i="24" s="1"/>
  <c r="AG42" i="24"/>
  <c r="AI42" i="24" s="1"/>
  <c r="AG41" i="24"/>
  <c r="AI41" i="24" s="1"/>
  <c r="AG40" i="24"/>
  <c r="AI40" i="24" s="1"/>
  <c r="AG38" i="24"/>
  <c r="AI38" i="24" s="1"/>
  <c r="AG37" i="24"/>
  <c r="AI37" i="24" s="1"/>
  <c r="AG36" i="24"/>
  <c r="AI36" i="24" s="1"/>
  <c r="AG35" i="24"/>
  <c r="AI35" i="24" s="1"/>
  <c r="AG34" i="24"/>
  <c r="AI34" i="24" s="1"/>
  <c r="AG32" i="24"/>
  <c r="AI32" i="24" s="1"/>
  <c r="AG31" i="24"/>
  <c r="AI31" i="24" s="1"/>
  <c r="AG30" i="24"/>
  <c r="AI30" i="24" s="1"/>
  <c r="AG27" i="24"/>
  <c r="AI27" i="24" s="1"/>
  <c r="AG26" i="24"/>
  <c r="AI26" i="24" s="1"/>
  <c r="AG25" i="24"/>
  <c r="AI25" i="24" s="1"/>
  <c r="AG24" i="24"/>
  <c r="AI24" i="24" s="1"/>
  <c r="AG21" i="24"/>
  <c r="AI21" i="24" s="1"/>
  <c r="AG15" i="24"/>
  <c r="AI15" i="24" s="1"/>
  <c r="AG14" i="24"/>
  <c r="AI14" i="24" s="1"/>
  <c r="AG17" i="24"/>
  <c r="AG16" i="24"/>
  <c r="AM88" i="24"/>
  <c r="AM87" i="24"/>
  <c r="AM89" i="24" s="1"/>
  <c r="AH88" i="24"/>
  <c r="AH87" i="24"/>
  <c r="AI88" i="24"/>
  <c r="AI87" i="24"/>
  <c r="AK88" i="24"/>
  <c r="AK87" i="24"/>
  <c r="AQ78" i="24"/>
  <c r="AQ77" i="24"/>
  <c r="AQ79" i="24" s="1"/>
  <c r="AN78" i="24"/>
  <c r="AN77" i="24"/>
  <c r="AL78" i="24"/>
  <c r="AL77" i="24"/>
  <c r="AP78" i="24"/>
  <c r="AP77" i="24"/>
  <c r="AO78" i="24"/>
  <c r="AO77" i="24"/>
  <c r="AJ82" i="24"/>
  <c r="AJ80" i="24"/>
  <c r="AJ78" i="24"/>
  <c r="AI82" i="24"/>
  <c r="AI80" i="24"/>
  <c r="AI78" i="24"/>
  <c r="AI76" i="24"/>
  <c r="AJ76" i="24"/>
  <c r="AE54" i="24"/>
  <c r="AE52" i="24"/>
  <c r="AA52" i="24"/>
  <c r="W52" i="24"/>
  <c r="S52" i="24"/>
  <c r="O52" i="24"/>
  <c r="G52" i="24"/>
  <c r="AE50" i="24"/>
  <c r="AA50" i="24"/>
  <c r="W50" i="24"/>
  <c r="S50" i="24"/>
  <c r="O50" i="24"/>
  <c r="K50" i="24"/>
  <c r="G50" i="24"/>
  <c r="AE49" i="24"/>
  <c r="AA49" i="24"/>
  <c r="W49" i="24"/>
  <c r="S49" i="24"/>
  <c r="O49" i="24"/>
  <c r="K49" i="24"/>
  <c r="G49" i="24"/>
  <c r="AE48" i="24"/>
  <c r="AA48" i="24"/>
  <c r="W48" i="24"/>
  <c r="S48" i="24"/>
  <c r="O48" i="24"/>
  <c r="K48" i="24"/>
  <c r="G48" i="24"/>
  <c r="AH47" i="24"/>
  <c r="AF47" i="24"/>
  <c r="AE47" i="24"/>
  <c r="AA47" i="24"/>
  <c r="W47" i="24"/>
  <c r="S47" i="24"/>
  <c r="O47" i="24"/>
  <c r="K47" i="24"/>
  <c r="G47" i="24"/>
  <c r="AE44" i="24"/>
  <c r="AA44" i="24"/>
  <c r="W44" i="24"/>
  <c r="S44" i="24"/>
  <c r="O44" i="24"/>
  <c r="K44" i="24"/>
  <c r="G44" i="24"/>
  <c r="AE42" i="24"/>
  <c r="AA42" i="24"/>
  <c r="W42" i="24"/>
  <c r="S42" i="24"/>
  <c r="O42" i="24"/>
  <c r="K42" i="24"/>
  <c r="G42" i="24"/>
  <c r="AE40" i="24"/>
  <c r="AA40" i="24"/>
  <c r="W40" i="24"/>
  <c r="S40" i="24"/>
  <c r="O40" i="24"/>
  <c r="K40" i="24"/>
  <c r="G40" i="24"/>
  <c r="AC39" i="24"/>
  <c r="AB39" i="24"/>
  <c r="Y39" i="24"/>
  <c r="AA39" i="24" s="1"/>
  <c r="U39" i="24"/>
  <c r="W39" i="24" s="1"/>
  <c r="Q39" i="24"/>
  <c r="S39" i="24" s="1"/>
  <c r="M39" i="24"/>
  <c r="O39" i="24" s="1"/>
  <c r="I39" i="24"/>
  <c r="K39" i="24" s="1"/>
  <c r="E39" i="24"/>
  <c r="G39" i="24" s="1"/>
  <c r="AE38" i="24"/>
  <c r="AA38" i="24"/>
  <c r="W38" i="24"/>
  <c r="S38" i="24"/>
  <c r="O38" i="24"/>
  <c r="K38" i="24"/>
  <c r="G38" i="24"/>
  <c r="AE36" i="24"/>
  <c r="AA36" i="24"/>
  <c r="W36" i="24"/>
  <c r="S36" i="24"/>
  <c r="O36" i="24"/>
  <c r="K36" i="24"/>
  <c r="G36" i="24"/>
  <c r="AE35" i="24"/>
  <c r="AA35" i="24"/>
  <c r="W35" i="24"/>
  <c r="S35" i="24"/>
  <c r="O35" i="24"/>
  <c r="K35" i="24"/>
  <c r="G35" i="24"/>
  <c r="AE34" i="24"/>
  <c r="AA34" i="24"/>
  <c r="W34" i="24"/>
  <c r="S34" i="24"/>
  <c r="O34" i="24"/>
  <c r="K34" i="24"/>
  <c r="G34" i="24"/>
  <c r="AH33" i="24"/>
  <c r="AF33" i="24"/>
  <c r="AC33" i="24"/>
  <c r="AB33" i="24"/>
  <c r="Y33" i="24"/>
  <c r="U33" i="24"/>
  <c r="W33" i="24" s="1"/>
  <c r="Q33" i="24"/>
  <c r="S33" i="24" s="1"/>
  <c r="M33" i="24"/>
  <c r="O33" i="24" s="1"/>
  <c r="I33" i="24"/>
  <c r="G33" i="24"/>
  <c r="AE32" i="24"/>
  <c r="AA32" i="24"/>
  <c r="W32" i="24"/>
  <c r="S32" i="24"/>
  <c r="O32" i="24"/>
  <c r="K32" i="24"/>
  <c r="G32" i="24"/>
  <c r="AE31" i="24"/>
  <c r="AA31" i="24"/>
  <c r="W31" i="24"/>
  <c r="S31" i="24"/>
  <c r="O31" i="24"/>
  <c r="K31" i="24"/>
  <c r="G31" i="24"/>
  <c r="AE30" i="24"/>
  <c r="AA30" i="24"/>
  <c r="W30" i="24"/>
  <c r="S30" i="24"/>
  <c r="O30" i="24"/>
  <c r="K30" i="24"/>
  <c r="G30" i="24"/>
  <c r="X29" i="24"/>
  <c r="X28" i="24" s="1"/>
  <c r="T29" i="24"/>
  <c r="T28" i="24" s="1"/>
  <c r="P29" i="24"/>
  <c r="L29" i="24"/>
  <c r="H29" i="24"/>
  <c r="H28" i="24" s="1"/>
  <c r="D29" i="24"/>
  <c r="D28" i="24" s="1"/>
  <c r="AE27" i="24"/>
  <c r="AA27" i="24"/>
  <c r="W27" i="24"/>
  <c r="S27" i="24"/>
  <c r="O27" i="24"/>
  <c r="K27" i="24"/>
  <c r="G27" i="24"/>
  <c r="AE26" i="24"/>
  <c r="AA26" i="24"/>
  <c r="W26" i="24"/>
  <c r="S26" i="24"/>
  <c r="O26" i="24"/>
  <c r="K26" i="24"/>
  <c r="G26" i="24"/>
  <c r="AE25" i="24"/>
  <c r="AA25" i="24"/>
  <c r="W25" i="24"/>
  <c r="S25" i="24"/>
  <c r="O25" i="24"/>
  <c r="K25" i="24"/>
  <c r="G25" i="24"/>
  <c r="AE24" i="24"/>
  <c r="AA24" i="24"/>
  <c r="W24" i="24"/>
  <c r="S24" i="24"/>
  <c r="O24" i="24"/>
  <c r="K24" i="24"/>
  <c r="G24" i="24"/>
  <c r="AH23" i="24"/>
  <c r="AF23" i="24"/>
  <c r="AF19" i="24" s="1"/>
  <c r="AE23" i="24"/>
  <c r="X23" i="24"/>
  <c r="AA23" i="24" s="1"/>
  <c r="W23" i="24"/>
  <c r="P23" i="24"/>
  <c r="S23" i="24" s="1"/>
  <c r="O23" i="24"/>
  <c r="I23" i="24"/>
  <c r="I19" i="24" s="1"/>
  <c r="K19" i="24" s="1"/>
  <c r="G23" i="24"/>
  <c r="AE21" i="24"/>
  <c r="AA21" i="24"/>
  <c r="W21" i="24"/>
  <c r="S21" i="24"/>
  <c r="O21" i="24"/>
  <c r="K21" i="24"/>
  <c r="G21" i="24"/>
  <c r="AE20" i="24"/>
  <c r="AA20" i="24"/>
  <c r="W20" i="24"/>
  <c r="S20" i="24"/>
  <c r="O20" i="24"/>
  <c r="K20" i="24"/>
  <c r="G20" i="24"/>
  <c r="AC19" i="24"/>
  <c r="AE19" i="24" s="1"/>
  <c r="Y19" i="24"/>
  <c r="U19" i="24"/>
  <c r="W19" i="24" s="1"/>
  <c r="M19" i="24"/>
  <c r="O19" i="24" s="1"/>
  <c r="E19" i="24"/>
  <c r="G19" i="24" s="1"/>
  <c r="AE18" i="24"/>
  <c r="AA18" i="24"/>
  <c r="W18" i="24"/>
  <c r="S18" i="24"/>
  <c r="O18" i="24"/>
  <c r="K18" i="24"/>
  <c r="G18" i="24"/>
  <c r="AF17" i="24"/>
  <c r="AE17" i="24"/>
  <c r="AA17" i="24"/>
  <c r="W17" i="24"/>
  <c r="S17" i="24"/>
  <c r="O17" i="24"/>
  <c r="K17" i="24"/>
  <c r="G17" i="24"/>
  <c r="AH16" i="24"/>
  <c r="AF16" i="24"/>
  <c r="AC16" i="24"/>
  <c r="AB16" i="24"/>
  <c r="X16" i="24"/>
  <c r="AA16" i="24" s="1"/>
  <c r="U16" i="24"/>
  <c r="W16" i="24" s="1"/>
  <c r="P16" i="24"/>
  <c r="S16" i="24" s="1"/>
  <c r="L16" i="24"/>
  <c r="O16" i="24" s="1"/>
  <c r="I16" i="24"/>
  <c r="K16" i="24" s="1"/>
  <c r="G16" i="24"/>
  <c r="AE15" i="24"/>
  <c r="AA15" i="24"/>
  <c r="W15" i="24"/>
  <c r="S15" i="24"/>
  <c r="O15" i="24"/>
  <c r="K15" i="24"/>
  <c r="G15" i="24"/>
  <c r="AE13" i="24"/>
  <c r="AA13" i="24"/>
  <c r="W13" i="24"/>
  <c r="S13" i="24"/>
  <c r="O13" i="24"/>
  <c r="K13" i="24"/>
  <c r="G13" i="24"/>
  <c r="AE12" i="24"/>
  <c r="AA12" i="24"/>
  <c r="W12" i="24"/>
  <c r="S12" i="24"/>
  <c r="O12" i="24"/>
  <c r="K12" i="24"/>
  <c r="G12" i="24"/>
  <c r="AH11" i="24"/>
  <c r="AF11" i="24"/>
  <c r="AC11" i="24"/>
  <c r="AB11" i="24"/>
  <c r="Y11" i="24"/>
  <c r="X11" i="24"/>
  <c r="U11" i="24"/>
  <c r="T11" i="24"/>
  <c r="Q11" i="24"/>
  <c r="P11" i="24"/>
  <c r="M11" i="24"/>
  <c r="L11" i="24"/>
  <c r="I11" i="24"/>
  <c r="H11" i="24"/>
  <c r="E11" i="24"/>
  <c r="D11" i="24"/>
  <c r="AE10" i="24"/>
  <c r="AA10" i="24"/>
  <c r="W10" i="24"/>
  <c r="S10" i="24"/>
  <c r="O10" i="24"/>
  <c r="K10" i="24"/>
  <c r="G10" i="24"/>
  <c r="AE9" i="24"/>
  <c r="AA9" i="24"/>
  <c r="W9" i="24"/>
  <c r="S9" i="24"/>
  <c r="O9" i="24"/>
  <c r="K9" i="24"/>
  <c r="G9" i="24"/>
  <c r="AE8" i="24"/>
  <c r="AA8" i="24"/>
  <c r="W8" i="24"/>
  <c r="S8" i="24"/>
  <c r="O8" i="24"/>
  <c r="K8" i="24"/>
  <c r="G8" i="24"/>
  <c r="AF7" i="24"/>
  <c r="AC7" i="24"/>
  <c r="AB7" i="24"/>
  <c r="Y7" i="24"/>
  <c r="X7" i="24"/>
  <c r="U7" i="24"/>
  <c r="T7" i="24"/>
  <c r="Q7" i="24"/>
  <c r="P7" i="24"/>
  <c r="M7" i="24"/>
  <c r="L7" i="24"/>
  <c r="I7" i="24"/>
  <c r="H7" i="24"/>
  <c r="E7" i="24"/>
  <c r="D7" i="24"/>
  <c r="AK89" i="24" l="1"/>
  <c r="AI16" i="24"/>
  <c r="AH39" i="24"/>
  <c r="AI39" i="24" s="1"/>
  <c r="D20" i="28"/>
  <c r="D60" i="28"/>
  <c r="D45" i="28"/>
  <c r="D54" i="28"/>
  <c r="B62" i="28"/>
  <c r="B85" i="28" s="1"/>
  <c r="D33" i="28"/>
  <c r="D62" i="28"/>
  <c r="D85" i="28" s="1"/>
  <c r="D13" i="28"/>
  <c r="D7" i="28"/>
  <c r="F41" i="27"/>
  <c r="D71" i="27"/>
  <c r="E78" i="27"/>
  <c r="E72" i="27"/>
  <c r="F42" i="27"/>
  <c r="E71" i="26"/>
  <c r="E78" i="26" s="1"/>
  <c r="F41" i="25"/>
  <c r="F79" i="25" s="1"/>
  <c r="F80" i="25" s="1"/>
  <c r="AI96" i="24"/>
  <c r="E41" i="25"/>
  <c r="E79" i="25" s="1"/>
  <c r="E86" i="25" s="1"/>
  <c r="F86" i="25"/>
  <c r="AG47" i="24"/>
  <c r="AI47" i="24" s="1"/>
  <c r="AG11" i="24"/>
  <c r="AI11" i="24" s="1"/>
  <c r="AG7" i="24"/>
  <c r="AI7" i="24" s="1"/>
  <c r="AG23" i="24"/>
  <c r="AG19" i="24" s="1"/>
  <c r="AG39" i="24"/>
  <c r="AG33" i="24"/>
  <c r="AI33" i="24" s="1"/>
  <c r="AH89" i="24"/>
  <c r="AE33" i="24"/>
  <c r="AN79" i="24"/>
  <c r="AO79" i="24"/>
  <c r="AL79" i="24"/>
  <c r="AP79" i="24"/>
  <c r="AJ83" i="24"/>
  <c r="AI83" i="24"/>
  <c r="AI89" i="24"/>
  <c r="AE39" i="24"/>
  <c r="S7" i="24"/>
  <c r="X19" i="24"/>
  <c r="X6" i="24" s="1"/>
  <c r="X51" i="24" s="1"/>
  <c r="X53" i="24" s="1"/>
  <c r="Q6" i="24"/>
  <c r="U6" i="24"/>
  <c r="K11" i="24"/>
  <c r="AA11" i="24"/>
  <c r="M6" i="24"/>
  <c r="O7" i="24"/>
  <c r="AB6" i="24"/>
  <c r="AE16" i="24"/>
  <c r="K7" i="24"/>
  <c r="G11" i="24"/>
  <c r="AE11" i="24"/>
  <c r="U29" i="24"/>
  <c r="U28" i="24" s="1"/>
  <c r="L6" i="24"/>
  <c r="O6" i="24" s="1"/>
  <c r="AE7" i="24"/>
  <c r="K23" i="24"/>
  <c r="AB29" i="24"/>
  <c r="AC29" i="24"/>
  <c r="AC28" i="24" s="1"/>
  <c r="I6" i="24"/>
  <c r="E6" i="24"/>
  <c r="O11" i="24"/>
  <c r="E29" i="24"/>
  <c r="E28" i="24" s="1"/>
  <c r="G28" i="24" s="1"/>
  <c r="M29" i="24"/>
  <c r="M28" i="24" s="1"/>
  <c r="W7" i="24"/>
  <c r="T6" i="24"/>
  <c r="L28" i="24"/>
  <c r="S11" i="24"/>
  <c r="W11" i="24"/>
  <c r="P28" i="24"/>
  <c r="H6" i="24"/>
  <c r="AC6" i="24"/>
  <c r="G7" i="24"/>
  <c r="D6" i="24"/>
  <c r="AA7" i="24"/>
  <c r="AH19" i="24"/>
  <c r="Q29" i="24"/>
  <c r="Q28" i="24" s="1"/>
  <c r="Y29" i="24"/>
  <c r="AA33" i="24"/>
  <c r="Y6" i="24"/>
  <c r="P19" i="24"/>
  <c r="S19" i="24" s="1"/>
  <c r="I29" i="24"/>
  <c r="K33" i="24"/>
  <c r="AF39" i="24"/>
  <c r="AI19" i="24" l="1"/>
  <c r="AH29" i="24"/>
  <c r="AH28" i="24" s="1"/>
  <c r="AI28" i="24" s="1"/>
  <c r="AI23" i="24"/>
  <c r="AG6" i="24"/>
  <c r="F71" i="27"/>
  <c r="D78" i="27"/>
  <c r="F72" i="27"/>
  <c r="E72" i="26"/>
  <c r="AG29" i="24"/>
  <c r="AG28" i="24" s="1"/>
  <c r="Q51" i="24"/>
  <c r="Q53" i="24" s="1"/>
  <c r="AB51" i="24"/>
  <c r="AA19" i="24"/>
  <c r="O29" i="24"/>
  <c r="G29" i="24"/>
  <c r="U51" i="24"/>
  <c r="U53" i="24" s="1"/>
  <c r="W29" i="24"/>
  <c r="E51" i="24"/>
  <c r="E55" i="24" s="1"/>
  <c r="AC51" i="24"/>
  <c r="AC53" i="24" s="1"/>
  <c r="W28" i="24"/>
  <c r="M51" i="24"/>
  <c r="M55" i="24" s="1"/>
  <c r="AB28" i="24"/>
  <c r="AE28" i="24" s="1"/>
  <c r="AE6" i="24"/>
  <c r="AE29" i="24"/>
  <c r="S28" i="24"/>
  <c r="O28" i="24"/>
  <c r="AF29" i="24"/>
  <c r="D51" i="24"/>
  <c r="G6" i="24"/>
  <c r="AA29" i="24"/>
  <c r="Y28" i="24"/>
  <c r="AA28" i="24" s="1"/>
  <c r="AB53" i="24"/>
  <c r="AH6" i="24"/>
  <c r="S29" i="24"/>
  <c r="P6" i="24"/>
  <c r="K29" i="24"/>
  <c r="I28" i="24"/>
  <c r="L51" i="24"/>
  <c r="AA6" i="24"/>
  <c r="K6" i="24"/>
  <c r="H51" i="24"/>
  <c r="T51" i="24"/>
  <c r="W6" i="24"/>
  <c r="AI6" i="24" l="1"/>
  <c r="AI29" i="24"/>
  <c r="AG51" i="24"/>
  <c r="AG53" i="24" s="1"/>
  <c r="Q55" i="24"/>
  <c r="E53" i="24"/>
  <c r="AE51" i="24"/>
  <c r="U55" i="24"/>
  <c r="AE53" i="24"/>
  <c r="M53" i="24"/>
  <c r="W51" i="24"/>
  <c r="T53" i="24"/>
  <c r="W53" i="24" s="1"/>
  <c r="L53" i="24"/>
  <c r="O51" i="24"/>
  <c r="H53" i="24"/>
  <c r="I51" i="24"/>
  <c r="K51" i="24" s="1"/>
  <c r="K28" i="24"/>
  <c r="P51" i="24"/>
  <c r="S6" i="24"/>
  <c r="G51" i="24"/>
  <c r="D53" i="24"/>
  <c r="AF28" i="24"/>
  <c r="AH51" i="24"/>
  <c r="AH52" i="24" s="1"/>
  <c r="AI52" i="24" s="1"/>
  <c r="Y51" i="24"/>
  <c r="AI51" i="24" l="1"/>
  <c r="AG55" i="24"/>
  <c r="AI53" i="24"/>
  <c r="G53" i="24"/>
  <c r="O53" i="24"/>
  <c r="P53" i="24"/>
  <c r="S53" i="24" s="1"/>
  <c r="S51" i="24"/>
  <c r="AH55" i="24"/>
  <c r="I53" i="24"/>
  <c r="K53" i="24" s="1"/>
  <c r="I55" i="24"/>
  <c r="Y53" i="24"/>
  <c r="AA53" i="24" s="1"/>
  <c r="Y55" i="24"/>
  <c r="AA51" i="24"/>
  <c r="AF51" i="24"/>
  <c r="AI55" i="24" l="1"/>
  <c r="AF53" i="24"/>
  <c r="AF55" i="24" l="1"/>
</calcChain>
</file>

<file path=xl/comments1.xml><?xml version="1.0" encoding="utf-8"?>
<comments xmlns="http://schemas.openxmlformats.org/spreadsheetml/2006/main">
  <authors>
    <author>Пользователь</author>
  </authors>
  <commentList>
    <comment ref="Y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 авто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69,024 з/п внештатник Нургалиева ГПХ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мехочистка</t>
        </r>
      </text>
    </comment>
    <comment ref="AC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мех.очистка-2983,571
Гульмира-3341,600 с НДС
 ,работа по газификации-1116,400
газуслуги -113,969
</t>
        </r>
      </text>
    </comment>
    <comment ref="AH18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мех.очистка-2179,999
Гульмира-3341,600 с НДС
 ,работа по газификации-1116,400
газуслуги -113,969
</t>
        </r>
      </text>
    </comment>
    <comment ref="Y4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прочие кредиторские 256,955
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</authors>
  <commentList>
    <comment ref="F6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связь61,38
публик.-36,74
</t>
        </r>
      </text>
    </comment>
  </commentList>
</comments>
</file>

<file path=xl/sharedStrings.xml><?xml version="1.0" encoding="utf-8"?>
<sst xmlns="http://schemas.openxmlformats.org/spreadsheetml/2006/main" count="1023" uniqueCount="280">
  <si>
    <t>№ п/п</t>
  </si>
  <si>
    <t>Наименование показателей тарифной сметы</t>
  </si>
  <si>
    <t>Ед.изм.</t>
  </si>
  <si>
    <t xml:space="preserve"> Меркенское ПУ</t>
  </si>
  <si>
    <t xml:space="preserve"> Кордайское ПУ</t>
  </si>
  <si>
    <t>Аксайское ПУ</t>
  </si>
  <si>
    <t>Шуский участок</t>
  </si>
  <si>
    <t xml:space="preserve"> Байзак ПУ</t>
  </si>
  <si>
    <t xml:space="preserve"> Аккол ПУ</t>
  </si>
  <si>
    <t>Отклонение</t>
  </si>
  <si>
    <t>Предус-о в утв. тарифной смете</t>
  </si>
  <si>
    <t xml:space="preserve">Факт </t>
  </si>
  <si>
    <t>Поступление денег</t>
  </si>
  <si>
    <t>Затраты на производство и предоставление услуг, всего в том числе:</t>
  </si>
  <si>
    <t>тыс.тг</t>
  </si>
  <si>
    <t>Материальные затраты , всего</t>
  </si>
  <si>
    <t>ГСМ</t>
  </si>
  <si>
    <t>Затраты на оплату труда</t>
  </si>
  <si>
    <t>Заработная плата</t>
  </si>
  <si>
    <t>социальный налог</t>
  </si>
  <si>
    <t>Амортизация</t>
  </si>
  <si>
    <t>Ремонт всего, в том числе:</t>
  </si>
  <si>
    <t>капитальный ремонт не приводящий к увелечению стоимости основных средств</t>
  </si>
  <si>
    <t>Прочие затраты, всего в том числе:</t>
  </si>
  <si>
    <t xml:space="preserve">затраты на проверку и аттестацию приборов учета, лабараторий, обслед. Электрооборудования </t>
  </si>
  <si>
    <t>командировочные расходы</t>
  </si>
  <si>
    <t>отопление</t>
  </si>
  <si>
    <t>охрана труда и безопасности</t>
  </si>
  <si>
    <t>II</t>
  </si>
  <si>
    <t>Расходы периода</t>
  </si>
  <si>
    <t>Общие административные расходы, всего в том числе</t>
  </si>
  <si>
    <t>6,2,1</t>
  </si>
  <si>
    <t>6,2,2</t>
  </si>
  <si>
    <t>услуги банка</t>
  </si>
  <si>
    <t>налоги</t>
  </si>
  <si>
    <t>налоги на транспорт</t>
  </si>
  <si>
    <t>налоги на имущество</t>
  </si>
  <si>
    <t>налоги на землю</t>
  </si>
  <si>
    <t>други е расходы, в том числе</t>
  </si>
  <si>
    <t>Канцелярские товары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</si>
  <si>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</si>
  <si>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</si>
  <si>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</si>
  <si>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</si>
  <si>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</si>
  <si>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</si>
  <si>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</si>
  <si>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Объемы оказываемых услуг</t>
  </si>
  <si>
    <t>тыс. м3</t>
  </si>
  <si>
    <t>VIII</t>
  </si>
  <si>
    <t>Тариф без НДС</t>
  </si>
  <si>
    <t>тенге/м3</t>
  </si>
  <si>
    <t>0,221/0,07</t>
  </si>
  <si>
    <t>0,221/0,07/0,359</t>
  </si>
  <si>
    <t>Приложение 4</t>
  </si>
  <si>
    <t>Наименование филиала РГП "Казводхоз"</t>
  </si>
  <si>
    <t xml:space="preserve">Наименование показателей </t>
  </si>
  <si>
    <t>Единица измерения</t>
  </si>
  <si>
    <t>I</t>
  </si>
  <si>
    <t>Затраты на производство товаров и предоставление услуг, 
всего в том числе</t>
  </si>
  <si>
    <t>тыс.тенге</t>
  </si>
  <si>
    <t>Материальные затраты, всего 
в том числе</t>
  </si>
  <si>
    <t>1.1</t>
  </si>
  <si>
    <t>Сырье и материалы</t>
  </si>
  <si>
    <t>1.2</t>
  </si>
  <si>
    <t>1.3</t>
  </si>
  <si>
    <t>Электроэнергия</t>
  </si>
  <si>
    <t>1.4</t>
  </si>
  <si>
    <t>Запасные части</t>
  </si>
  <si>
    <t>1.5</t>
  </si>
  <si>
    <t>Прочие материалы</t>
  </si>
  <si>
    <t>1.6</t>
  </si>
  <si>
    <t>Топливо</t>
  </si>
  <si>
    <t>Затраты на оплату труда, всего 
в том числе</t>
  </si>
  <si>
    <t>2.1</t>
  </si>
  <si>
    <t>2.2</t>
  </si>
  <si>
    <t>Социальный налог</t>
  </si>
  <si>
    <t>2.3</t>
  </si>
  <si>
    <t>Соц.отчисл./страхование</t>
  </si>
  <si>
    <t>Ремонт, всего 
в том числе</t>
  </si>
  <si>
    <t>4.1</t>
  </si>
  <si>
    <t>4.2</t>
  </si>
  <si>
    <t>Капитальный ремонт</t>
  </si>
  <si>
    <t>Прочие затраты, всего 
в том числе</t>
  </si>
  <si>
    <t>5.1</t>
  </si>
  <si>
    <t xml:space="preserve">затраты на проверку и аттестацию приборов учета , лабораторий,обслед.Энергооборудования </t>
  </si>
  <si>
    <t>5.2</t>
  </si>
  <si>
    <t>Охрана труда и техника безопасности</t>
  </si>
  <si>
    <t>5.4</t>
  </si>
  <si>
    <t>Плата за пользование водными ресурсами</t>
  </si>
  <si>
    <t>5.6</t>
  </si>
  <si>
    <t>Коммунальные услуги</t>
  </si>
  <si>
    <t>5.7</t>
  </si>
  <si>
    <t>Эмиссия в окружающую среду</t>
  </si>
  <si>
    <t>5.8</t>
  </si>
  <si>
    <t>Налоги и платежи в бюджет</t>
  </si>
  <si>
    <t>5.9</t>
  </si>
  <si>
    <t>Обязательное страхование автотранспорта</t>
  </si>
  <si>
    <t>5.10</t>
  </si>
  <si>
    <t>Техосмотр автомашин</t>
  </si>
  <si>
    <t>5.11</t>
  </si>
  <si>
    <t>Расходы на ремонт и обслуживание оргтехники</t>
  </si>
  <si>
    <t>Другие затраты (необходимо расшифровать)</t>
  </si>
  <si>
    <t>6.1</t>
  </si>
  <si>
    <t>Затраты на экологию</t>
  </si>
  <si>
    <t>6.2</t>
  </si>
  <si>
    <t>Командировочные расходы</t>
  </si>
  <si>
    <t>6.3</t>
  </si>
  <si>
    <t>Услуги связи</t>
  </si>
  <si>
    <t>6.4</t>
  </si>
  <si>
    <t>Аренда автотранспорта</t>
  </si>
  <si>
    <t>6.5</t>
  </si>
  <si>
    <t>Аттестация гидропостов</t>
  </si>
  <si>
    <t>6.7</t>
  </si>
  <si>
    <t>Услуги сторонних организаций</t>
  </si>
  <si>
    <t>6.8</t>
  </si>
  <si>
    <t>Прочие (расшифровать)</t>
  </si>
  <si>
    <t>Расходы периода,
всего</t>
  </si>
  <si>
    <t>Общие и административные расходы, всего
в том числе</t>
  </si>
  <si>
    <t>7.1</t>
  </si>
  <si>
    <t>7.2</t>
  </si>
  <si>
    <t>7.3</t>
  </si>
  <si>
    <t>7.4</t>
  </si>
  <si>
    <t>7.5</t>
  </si>
  <si>
    <t>7.6</t>
  </si>
  <si>
    <t>7.7</t>
  </si>
  <si>
    <t>Заработная плата административного персонала</t>
  </si>
  <si>
    <t>7.8</t>
  </si>
  <si>
    <t>7.9</t>
  </si>
  <si>
    <t>Социальные отчисления</t>
  </si>
  <si>
    <t>7.10</t>
  </si>
  <si>
    <t>7.11</t>
  </si>
  <si>
    <t>7.12</t>
  </si>
  <si>
    <t>Услуги банка</t>
  </si>
  <si>
    <t>7.13</t>
  </si>
  <si>
    <t>7.14</t>
  </si>
  <si>
    <t>7.15</t>
  </si>
  <si>
    <t>7.16</t>
  </si>
  <si>
    <t>Налог на охрану окружающей среды</t>
  </si>
  <si>
    <t>7.17</t>
  </si>
  <si>
    <t>7.18</t>
  </si>
  <si>
    <t>Налоги, всего в том числе</t>
  </si>
  <si>
    <t>7.18.1.</t>
  </si>
  <si>
    <t>имущественный налог</t>
  </si>
  <si>
    <t>7.18.2.</t>
  </si>
  <si>
    <t>транспортный налог</t>
  </si>
  <si>
    <t>7.18.3.</t>
  </si>
  <si>
    <t>земельный налог</t>
  </si>
  <si>
    <t>7.19.</t>
  </si>
  <si>
    <t>аренда помещения</t>
  </si>
  <si>
    <t>8</t>
  </si>
  <si>
    <t>Другие расходы, всего
в том числе</t>
  </si>
  <si>
    <t>8.1</t>
  </si>
  <si>
    <t>Подписка/периодическая печать</t>
  </si>
  <si>
    <t>8.2</t>
  </si>
  <si>
    <t>8.3</t>
  </si>
  <si>
    <t>Подготовка кадров, повышение квалификации</t>
  </si>
  <si>
    <t>8.4</t>
  </si>
  <si>
    <t>8,5</t>
  </si>
  <si>
    <t xml:space="preserve">расходы на содержание автотранспорта </t>
  </si>
  <si>
    <t>Прибыль/Убыток</t>
  </si>
  <si>
    <t>Объем оказываемых услуг</t>
  </si>
  <si>
    <t xml:space="preserve">тыс.м3 </t>
  </si>
  <si>
    <t>тыс.кВтч</t>
  </si>
  <si>
    <t>тыс.Гкал</t>
  </si>
  <si>
    <t>VII</t>
  </si>
  <si>
    <t>Численность, всего</t>
  </si>
  <si>
    <t>человек</t>
  </si>
  <si>
    <t>АУП</t>
  </si>
  <si>
    <t>ПП</t>
  </si>
  <si>
    <t xml:space="preserve">Отклонение </t>
  </si>
  <si>
    <t xml:space="preserve">Примечание </t>
  </si>
  <si>
    <t>Текущий ремонт</t>
  </si>
  <si>
    <t xml:space="preserve">в связи с снижением объемов и дохода от оказываемых услуг </t>
  </si>
  <si>
    <t>отклонение</t>
  </si>
  <si>
    <t xml:space="preserve">Асинский участок </t>
  </si>
  <si>
    <t>Наименование</t>
  </si>
  <si>
    <t>объем тыс.м3</t>
  </si>
  <si>
    <t>тариф тенге /м3</t>
  </si>
  <si>
    <t>доход тыс. тенге</t>
  </si>
  <si>
    <t xml:space="preserve">водопотребитель </t>
  </si>
  <si>
    <t>водопотребитель через КГП</t>
  </si>
  <si>
    <t>ИТОГО</t>
  </si>
  <si>
    <t xml:space="preserve">Кордайский участок </t>
  </si>
  <si>
    <t>КГП</t>
  </si>
  <si>
    <t>коллектор</t>
  </si>
  <si>
    <t>Шу</t>
  </si>
  <si>
    <t xml:space="preserve">Меркенский участок </t>
  </si>
  <si>
    <t xml:space="preserve">Байзак участок </t>
  </si>
  <si>
    <t>СПКВ</t>
  </si>
  <si>
    <t>СПВК</t>
  </si>
  <si>
    <t xml:space="preserve">ТОО </t>
  </si>
  <si>
    <t xml:space="preserve">Аксайский участок </t>
  </si>
  <si>
    <t xml:space="preserve">Аккол участок </t>
  </si>
  <si>
    <t>водопотребитель</t>
  </si>
  <si>
    <t>ТОО</t>
  </si>
  <si>
    <t>ВСЕГО ПО ЖФ ПО КАНАЛАМ</t>
  </si>
  <si>
    <t>ПОДАЧА КАЗФОСФАТ И ТМЗ</t>
  </si>
  <si>
    <t>ПОДАЧА ЖГРЭС</t>
  </si>
  <si>
    <t>тасоткел ПОДАЧА ГЭС</t>
  </si>
  <si>
    <t xml:space="preserve"> каракыстак ПОДАЧА ГЭС </t>
  </si>
  <si>
    <t>0,221/0,07/0,358</t>
  </si>
  <si>
    <t>водопотребитель (правая ветка)</t>
  </si>
  <si>
    <t>Предусмотрено в утвержденной тарифной смете</t>
  </si>
  <si>
    <t>Фактически сложившиеся показатели тарифной  сметы</t>
  </si>
  <si>
    <t>Отклонение, %</t>
  </si>
  <si>
    <t>Причина</t>
  </si>
  <si>
    <t>хозяйственные товары</t>
  </si>
  <si>
    <t>Предус-о в утвержденной тарифной смете</t>
  </si>
  <si>
    <t>Фактически сложившиеся показатели тарифной сметы</t>
  </si>
  <si>
    <t>8.4.1</t>
  </si>
  <si>
    <t xml:space="preserve">за публикацию в газету </t>
  </si>
  <si>
    <t>8.4.2</t>
  </si>
  <si>
    <t xml:space="preserve">информационные услуги </t>
  </si>
  <si>
    <t>8.4.3</t>
  </si>
  <si>
    <t>8.4.4</t>
  </si>
  <si>
    <t xml:space="preserve">социально медицинское страхование </t>
  </si>
  <si>
    <t xml:space="preserve">Ремон комп.и заправка оргтехники </t>
  </si>
  <si>
    <t xml:space="preserve">                                                                  </t>
  </si>
  <si>
    <t>Тариф</t>
  </si>
  <si>
    <t>тенге</t>
  </si>
  <si>
    <t>тариф</t>
  </si>
  <si>
    <t>каракыстак ГЭС</t>
  </si>
  <si>
    <t>Тасоткельская  ГЭС</t>
  </si>
  <si>
    <t>Триф</t>
  </si>
  <si>
    <t xml:space="preserve">тенге </t>
  </si>
  <si>
    <t>текущий ремонт, не приводящий к увелечению стоимости основных  средств(кредиторская задолж.)</t>
  </si>
  <si>
    <t>медстрахование</t>
  </si>
  <si>
    <t>АСА ПУ</t>
  </si>
  <si>
    <t xml:space="preserve">ВСЕГО </t>
  </si>
  <si>
    <t xml:space="preserve">услуги связи </t>
  </si>
  <si>
    <t xml:space="preserve">сырье и материалы </t>
  </si>
  <si>
    <t xml:space="preserve">Запчасти </t>
  </si>
  <si>
    <t xml:space="preserve">коммунальные услуги </t>
  </si>
  <si>
    <t>дератизационные ,дезинфекционные работы</t>
  </si>
  <si>
    <t xml:space="preserve">электроэнергия </t>
  </si>
  <si>
    <t xml:space="preserve">командировочные расходы </t>
  </si>
  <si>
    <t xml:space="preserve">банковские услуги </t>
  </si>
  <si>
    <t>обслуживание компьютерной техники</t>
  </si>
  <si>
    <t xml:space="preserve">услуги нотариуса </t>
  </si>
  <si>
    <t>на содержание автотранспорта в т.ч.</t>
  </si>
  <si>
    <t xml:space="preserve">запчасть </t>
  </si>
  <si>
    <t xml:space="preserve">ГСМ </t>
  </si>
  <si>
    <t xml:space="preserve">Ареда помещения </t>
  </si>
  <si>
    <t>окружающая среда ЭОС</t>
  </si>
  <si>
    <t xml:space="preserve">социальное медицинское страхование </t>
  </si>
  <si>
    <t>24 чел ЖГРЭС</t>
  </si>
  <si>
    <t>5 ТМЗ КАЗФОСФАТ</t>
  </si>
  <si>
    <t>1,5 Тасоткельская ГЭС</t>
  </si>
  <si>
    <t>0,5 каракыстак ГЭС</t>
  </si>
  <si>
    <t xml:space="preserve">соц.отч и соц. налог </t>
  </si>
  <si>
    <t xml:space="preserve">командировочные </t>
  </si>
  <si>
    <t>ЖГРЭС</t>
  </si>
  <si>
    <t>ТМЗ</t>
  </si>
  <si>
    <t>ОСМС</t>
  </si>
  <si>
    <t xml:space="preserve">Банк </t>
  </si>
  <si>
    <t xml:space="preserve"> Исполнение тарифной сметы по подаче воды водопотребителям по  ЖФ РГП "Казводхоз" на 1 полугодие 2018года</t>
  </si>
  <si>
    <t xml:space="preserve">Амортизация </t>
  </si>
  <si>
    <t xml:space="preserve">заправка тонер </t>
  </si>
  <si>
    <t xml:space="preserve">запчасти </t>
  </si>
  <si>
    <t>информац.усл</t>
  </si>
  <si>
    <t xml:space="preserve">План за полугодие  </t>
  </si>
  <si>
    <t>объем ЖГРЭС-45,593</t>
  </si>
  <si>
    <t>подача -12,72</t>
  </si>
  <si>
    <t>ТМЗ-3,483</t>
  </si>
  <si>
    <t>Тасотк.ГЭС-434,720</t>
  </si>
  <si>
    <t>Каракыс.ГЭС-13,130</t>
  </si>
  <si>
    <t>план полугодовой 2018г</t>
  </si>
  <si>
    <t>информацТМЗ</t>
  </si>
  <si>
    <t>публика</t>
  </si>
  <si>
    <t>соц.н</t>
  </si>
  <si>
    <t>соц.отч</t>
  </si>
  <si>
    <t xml:space="preserve">Сарысу </t>
  </si>
  <si>
    <t xml:space="preserve">Доход по отчету 1ВХ - по услуге подача воды по каналам  2018 год </t>
  </si>
  <si>
    <t xml:space="preserve">Главный экономист                                                                                                                  А.Байбосынов </t>
  </si>
  <si>
    <t xml:space="preserve">Директор ЖФ РГП "Казводхоз"                                                                                         Қ.Құдайберген </t>
  </si>
  <si>
    <t>исп.Джексенгалиева А</t>
  </si>
  <si>
    <t xml:space="preserve">исп.Джексенгалиева </t>
  </si>
  <si>
    <t xml:space="preserve">Показатели по регулируемой услуге на 1 полугодие  2018 год </t>
  </si>
  <si>
    <r>
      <t xml:space="preserve">             И</t>
    </r>
    <r>
      <rPr>
        <b/>
        <sz val="12"/>
        <rFont val="Arial Cyr"/>
        <charset val="204"/>
      </rPr>
      <t xml:space="preserve">сполнение тарифной сметы на услуги по регулированнию поверхностного стока при помоши гидротехнических сооружений Жамбылского филиала РГП "Казводхоз"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1 полугодие    2018 год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</si>
</sst>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_(* #,##0.00_);_(* \(#,##0.00\);_(* &quot;-&quot;??_);_(@_)"/>
    <numFmt numFmtId="167" formatCode="\€#,##0;&quot;-€&quot;#,##0"/>
    <numFmt numFmtId="168" formatCode="0.0"/>
    <numFmt numFmtId="169" formatCode="0.000"/>
    <numFmt numFmtId="170" formatCode="#,##0.0"/>
    <numFmt numFmtId="171" formatCode="#,##0.0000"/>
  </numFmts>
  <fonts count="7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2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1"/>
      <color theme="1"/>
      <name val="Calibri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Tahoma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1"/>
      <name val="Calibri"/>
      <family val="2"/>
      <charset val="204"/>
    </font>
    <font>
      <sz val="12"/>
      <name val="宋体"/>
      <charset val="13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b/>
      <i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  <font>
      <i/>
      <sz val="8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b/>
      <sz val="8"/>
      <name val="Arial"/>
      <family val="2"/>
      <charset val="204"/>
    </font>
    <font>
      <sz val="12"/>
      <name val="Arial Cyr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lightDown">
        <fgColor theme="5" tint="0.39994506668294322"/>
        <bgColor indexed="45"/>
      </patternFill>
    </fill>
    <fill>
      <patternFill patternType="lightDown">
        <fgColor indexed="29"/>
        <bgColor indexed="4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4">
    <xf numFmtId="0" fontId="0" fillId="0" borderId="0"/>
    <xf numFmtId="0" fontId="5" fillId="0" borderId="0"/>
    <xf numFmtId="43" fontId="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3" fillId="16" borderId="0" applyNumberFormat="0" applyBorder="0" applyAlignment="0" applyProtection="0"/>
    <xf numFmtId="1" fontId="14" fillId="0" borderId="0">
      <alignment horizontal="center" vertical="top" wrapText="1"/>
    </xf>
    <xf numFmtId="164" fontId="14" fillId="0" borderId="4">
      <alignment horizontal="center" vertical="top" wrapText="1"/>
    </xf>
    <xf numFmtId="165" fontId="14" fillId="0" borderId="4">
      <alignment horizontal="center" vertical="top" wrapText="1"/>
    </xf>
    <xf numFmtId="165" fontId="14" fillId="0" borderId="4">
      <alignment horizontal="center" vertical="top" wrapText="1"/>
    </xf>
    <xf numFmtId="165" fontId="14" fillId="0" borderId="4">
      <alignment horizontal="center" vertical="top" wrapText="1"/>
    </xf>
    <xf numFmtId="1" fontId="14" fillId="0" borderId="0">
      <alignment horizontal="center" vertical="top" wrapText="1"/>
    </xf>
    <xf numFmtId="164" fontId="14" fillId="0" borderId="0">
      <alignment horizontal="center" vertical="top" wrapText="1"/>
    </xf>
    <xf numFmtId="165" fontId="14" fillId="0" borderId="0">
      <alignment horizontal="center" vertical="top" wrapText="1"/>
    </xf>
    <xf numFmtId="165" fontId="14" fillId="0" borderId="0">
      <alignment horizontal="center" vertical="top" wrapText="1"/>
    </xf>
    <xf numFmtId="165" fontId="14" fillId="0" borderId="0">
      <alignment horizontal="center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4" fillId="0" borderId="4">
      <alignment horizontal="left" vertical="top"/>
    </xf>
    <xf numFmtId="0" fontId="14" fillId="0" borderId="5">
      <alignment horizontal="center" vertical="top" wrapText="1"/>
    </xf>
    <xf numFmtId="0" fontId="14" fillId="0" borderId="0">
      <alignment horizontal="left" vertical="top"/>
    </xf>
    <xf numFmtId="0" fontId="14" fillId="0" borderId="6">
      <alignment horizontal="left" vertical="top"/>
    </xf>
    <xf numFmtId="0" fontId="15" fillId="17" borderId="4">
      <alignment horizontal="left" vertical="top" wrapText="1"/>
    </xf>
    <xf numFmtId="0" fontId="15" fillId="17" borderId="4">
      <alignment horizontal="left" vertical="top" wrapText="1"/>
    </xf>
    <xf numFmtId="0" fontId="16" fillId="0" borderId="4">
      <alignment horizontal="left" vertical="top" wrapText="1"/>
    </xf>
    <xf numFmtId="0" fontId="14" fillId="0" borderId="4">
      <alignment horizontal="left" vertical="top" wrapText="1"/>
    </xf>
    <xf numFmtId="0" fontId="17" fillId="0" borderId="4">
      <alignment horizontal="left" vertical="top" wrapText="1"/>
    </xf>
    <xf numFmtId="0" fontId="18" fillId="0" borderId="0"/>
    <xf numFmtId="0" fontId="19" fillId="0" borderId="0"/>
    <xf numFmtId="0" fontId="20" fillId="0" borderId="0"/>
    <xf numFmtId="0" fontId="21" fillId="0" borderId="0">
      <alignment horizontal="left" vertical="top"/>
    </xf>
    <xf numFmtId="0" fontId="22" fillId="0" borderId="0">
      <alignment horizontal="left" vertical="top"/>
    </xf>
    <xf numFmtId="0" fontId="21" fillId="0" borderId="0">
      <alignment horizontal="right" vertical="top"/>
    </xf>
    <xf numFmtId="0" fontId="22" fillId="0" borderId="0">
      <alignment horizontal="right" vertical="top"/>
    </xf>
    <xf numFmtId="0" fontId="23" fillId="0" borderId="0">
      <alignment horizontal="right" vertical="top"/>
    </xf>
    <xf numFmtId="0" fontId="23" fillId="0" borderId="0">
      <alignment horizontal="right" vertical="top"/>
    </xf>
    <xf numFmtId="0" fontId="24" fillId="0" borderId="0">
      <alignment horizontal="center" vertical="center"/>
    </xf>
    <xf numFmtId="0" fontId="22" fillId="0" borderId="0">
      <alignment horizontal="center" vertical="top"/>
    </xf>
    <xf numFmtId="0" fontId="24" fillId="0" borderId="0">
      <alignment horizontal="center" vertical="center" textRotation="90"/>
    </xf>
    <xf numFmtId="0" fontId="21" fillId="0" borderId="0">
      <alignment horizontal="left" vertical="top"/>
    </xf>
    <xf numFmtId="0" fontId="25" fillId="0" borderId="0">
      <alignment horizontal="left" vertical="top"/>
    </xf>
    <xf numFmtId="0" fontId="21" fillId="0" borderId="0">
      <alignment horizontal="right" vertical="top"/>
    </xf>
    <xf numFmtId="0" fontId="24" fillId="0" borderId="0">
      <alignment horizontal="center" vertical="center"/>
    </xf>
    <xf numFmtId="0" fontId="25" fillId="0" borderId="0">
      <alignment horizontal="left" vertical="top"/>
    </xf>
    <xf numFmtId="0" fontId="24" fillId="0" borderId="0">
      <alignment horizontal="center" vertical="center"/>
    </xf>
    <xf numFmtId="0" fontId="23" fillId="0" borderId="0">
      <alignment horizontal="left" vertical="top"/>
    </xf>
    <xf numFmtId="0" fontId="23" fillId="0" borderId="0">
      <alignment horizontal="left" vertical="top"/>
    </xf>
    <xf numFmtId="0" fontId="24" fillId="0" borderId="0">
      <alignment horizontal="center" vertical="center" textRotation="90"/>
    </xf>
    <xf numFmtId="0" fontId="24" fillId="0" borderId="0">
      <alignment horizontal="right" vertical="top"/>
    </xf>
    <xf numFmtId="0" fontId="24" fillId="0" borderId="0">
      <alignment horizontal="left" vertical="top"/>
    </xf>
    <xf numFmtId="0" fontId="26" fillId="0" borderId="0">
      <alignment horizontal="left" vertical="top"/>
    </xf>
    <xf numFmtId="0" fontId="23" fillId="0" borderId="0">
      <alignment horizontal="left" vertical="top"/>
    </xf>
    <xf numFmtId="0" fontId="26" fillId="0" borderId="0">
      <alignment horizontal="right" vertical="top"/>
    </xf>
    <xf numFmtId="0" fontId="24" fillId="0" borderId="0">
      <alignment horizontal="right" vertical="top"/>
    </xf>
    <xf numFmtId="0" fontId="25" fillId="0" borderId="0">
      <alignment horizontal="right" vertical="top"/>
    </xf>
    <xf numFmtId="0" fontId="27" fillId="0" borderId="0">
      <alignment horizontal="center" vertical="top"/>
    </xf>
    <xf numFmtId="0" fontId="14" fillId="0" borderId="3">
      <alignment horizontal="center" textRotation="90" wrapText="1"/>
    </xf>
    <xf numFmtId="0" fontId="14" fillId="0" borderId="3">
      <alignment horizontal="center" vertical="center" wrapText="1"/>
    </xf>
    <xf numFmtId="1" fontId="28" fillId="0" borderId="0">
      <alignment horizontal="center" vertical="top" wrapText="1"/>
    </xf>
    <xf numFmtId="164" fontId="28" fillId="0" borderId="4">
      <alignment horizontal="center" vertical="top" wrapText="1"/>
    </xf>
    <xf numFmtId="165" fontId="28" fillId="0" borderId="4">
      <alignment horizontal="center" vertical="top" wrapText="1"/>
    </xf>
    <xf numFmtId="165" fontId="28" fillId="0" borderId="4">
      <alignment horizontal="center" vertical="top" wrapText="1"/>
    </xf>
    <xf numFmtId="165" fontId="28" fillId="0" borderId="4">
      <alignment horizontal="center" vertical="top" wrapText="1"/>
    </xf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21" borderId="0" applyNumberFormat="0" applyBorder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13" fillId="8" borderId="7" applyNumberFormat="0" applyAlignment="0" applyProtection="0"/>
    <xf numFmtId="0" fontId="29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13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29" fillId="8" borderId="7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29" fillId="22" borderId="8" applyNumberFormat="0" applyAlignment="0" applyProtection="0"/>
    <xf numFmtId="0" fontId="30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29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0" fillId="22" borderId="8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0" fillId="22" borderId="7" applyNumberFormat="0" applyAlignment="0" applyProtection="0"/>
    <xf numFmtId="0" fontId="31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0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0" fontId="31" fillId="22" borderId="7" applyNumberFormat="0" applyAlignment="0" applyProtection="0"/>
    <xf numFmtId="44" fontId="32" fillId="0" borderId="0" applyFon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0" fontId="5" fillId="0" borderId="0"/>
    <xf numFmtId="0" fontId="37" fillId="23" borderId="13" applyNumberFormat="0" applyAlignment="0" applyProtection="0"/>
    <xf numFmtId="0" fontId="37" fillId="23" borderId="13" applyNumberFormat="0" applyAlignment="0" applyProtection="0"/>
    <xf numFmtId="0" fontId="36" fillId="23" borderId="13" applyNumberFormat="0" applyAlignment="0" applyProtection="0"/>
    <xf numFmtId="0" fontId="36" fillId="23" borderId="13" applyNumberFormat="0" applyAlignment="0" applyProtection="0"/>
    <xf numFmtId="0" fontId="36" fillId="23" borderId="13" applyNumberFormat="0" applyAlignment="0" applyProtection="0"/>
    <xf numFmtId="0" fontId="36" fillId="23" borderId="13" applyNumberFormat="0" applyAlignment="0" applyProtection="0"/>
    <xf numFmtId="0" fontId="37" fillId="23" borderId="13" applyNumberFormat="0" applyAlignment="0" applyProtection="0"/>
    <xf numFmtId="0" fontId="37" fillId="23" borderId="13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" fillId="0" borderId="0"/>
    <xf numFmtId="0" fontId="1" fillId="0" borderId="0"/>
    <xf numFmtId="0" fontId="8" fillId="0" borderId="0"/>
    <xf numFmtId="0" fontId="40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8" fillId="0" borderId="0"/>
    <xf numFmtId="0" fontId="8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20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1" fillId="0" borderId="0"/>
    <xf numFmtId="0" fontId="8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1" fillId="0" borderId="0"/>
    <xf numFmtId="0" fontId="32" fillId="0" borderId="0"/>
    <xf numFmtId="0" fontId="32" fillId="0" borderId="0"/>
    <xf numFmtId="0" fontId="40" fillId="0" borderId="0"/>
    <xf numFmtId="0" fontId="1" fillId="0" borderId="0"/>
    <xf numFmtId="0" fontId="8" fillId="0" borderId="0"/>
    <xf numFmtId="0" fontId="40" fillId="0" borderId="0"/>
    <xf numFmtId="0" fontId="1" fillId="0" borderId="0"/>
    <xf numFmtId="0" fontId="8" fillId="0" borderId="0"/>
    <xf numFmtId="0" fontId="8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32" fillId="0" borderId="0">
      <alignment horizontal="center"/>
    </xf>
    <xf numFmtId="0" fontId="1" fillId="0" borderId="0"/>
    <xf numFmtId="0" fontId="1" fillId="0" borderId="0"/>
    <xf numFmtId="0" fontId="8" fillId="0" borderId="0"/>
    <xf numFmtId="0" fontId="1" fillId="0" borderId="0"/>
    <xf numFmtId="0" fontId="32" fillId="0" borderId="0">
      <alignment horizontal="center"/>
    </xf>
    <xf numFmtId="0" fontId="1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8" fillId="0" borderId="0"/>
    <xf numFmtId="0" fontId="32" fillId="0" borderId="0"/>
    <xf numFmtId="0" fontId="8" fillId="0" borderId="0"/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8" fillId="0" borderId="0"/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1" fillId="0" borderId="0"/>
    <xf numFmtId="0" fontId="41" fillId="0" borderId="0"/>
    <xf numFmtId="0" fontId="8" fillId="0" borderId="0"/>
    <xf numFmtId="0" fontId="1" fillId="0" borderId="0"/>
    <xf numFmtId="0" fontId="42" fillId="0" borderId="0">
      <alignment horizontal="left"/>
    </xf>
    <xf numFmtId="0" fontId="8" fillId="0" borderId="0"/>
    <xf numFmtId="0" fontId="1" fillId="0" borderId="0"/>
    <xf numFmtId="0" fontId="8" fillId="0" borderId="0"/>
    <xf numFmtId="0" fontId="32" fillId="0" borderId="0"/>
    <xf numFmtId="0" fontId="8" fillId="0" borderId="0"/>
    <xf numFmtId="0" fontId="8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42" fillId="0" borderId="0">
      <alignment horizontal="left"/>
    </xf>
    <xf numFmtId="0" fontId="8" fillId="0" borderId="0"/>
    <xf numFmtId="0" fontId="40" fillId="0" borderId="0">
      <alignment horizontal="center"/>
    </xf>
    <xf numFmtId="0" fontId="32" fillId="0" borderId="0"/>
    <xf numFmtId="0" fontId="1" fillId="0" borderId="0"/>
    <xf numFmtId="0" fontId="8" fillId="0" borderId="0"/>
    <xf numFmtId="0" fontId="32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0" fillId="0" borderId="0">
      <alignment horizontal="center"/>
    </xf>
    <xf numFmtId="0" fontId="8" fillId="0" borderId="0"/>
    <xf numFmtId="0" fontId="40" fillId="0" borderId="0"/>
    <xf numFmtId="0" fontId="8" fillId="0" borderId="0"/>
    <xf numFmtId="0" fontId="40" fillId="0" borderId="0"/>
    <xf numFmtId="0" fontId="40" fillId="0" borderId="0"/>
    <xf numFmtId="0" fontId="42" fillId="0" borderId="0">
      <alignment horizontal="left"/>
    </xf>
    <xf numFmtId="0" fontId="1" fillId="0" borderId="0"/>
    <xf numFmtId="0" fontId="8" fillId="0" borderId="0"/>
    <xf numFmtId="0" fontId="43" fillId="0" borderId="0"/>
    <xf numFmtId="0" fontId="32" fillId="0" borderId="0">
      <alignment horizontal="center"/>
    </xf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/>
    <xf numFmtId="0" fontId="40" fillId="0" borderId="0"/>
    <xf numFmtId="0" fontId="32" fillId="0" borderId="0">
      <alignment horizontal="center"/>
    </xf>
    <xf numFmtId="0" fontId="40" fillId="0" borderId="0"/>
    <xf numFmtId="0" fontId="32" fillId="0" borderId="0">
      <alignment horizontal="center"/>
    </xf>
    <xf numFmtId="0" fontId="1" fillId="0" borderId="0"/>
    <xf numFmtId="0" fontId="41" fillId="0" borderId="0"/>
    <xf numFmtId="0" fontId="1" fillId="0" borderId="0"/>
    <xf numFmtId="0" fontId="8" fillId="0" borderId="0"/>
    <xf numFmtId="0" fontId="1" fillId="0" borderId="0"/>
    <xf numFmtId="0" fontId="32" fillId="0" borderId="0">
      <alignment horizontal="center"/>
    </xf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41" fillId="0" borderId="0"/>
    <xf numFmtId="0" fontId="41" fillId="0" borderId="0"/>
    <xf numFmtId="0" fontId="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40" fillId="0" borderId="0"/>
    <xf numFmtId="0" fontId="8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32" fillId="0" borderId="0"/>
    <xf numFmtId="0" fontId="41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2" fillId="0" borderId="0">
      <alignment horizontal="center"/>
    </xf>
    <xf numFmtId="0" fontId="42" fillId="0" borderId="0">
      <alignment horizontal="left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/>
    <xf numFmtId="0" fontId="40" fillId="0" borderId="0"/>
    <xf numFmtId="0" fontId="32" fillId="0" borderId="0"/>
    <xf numFmtId="0" fontId="32" fillId="0" borderId="0"/>
    <xf numFmtId="0" fontId="40" fillId="0" borderId="0"/>
    <xf numFmtId="0" fontId="1" fillId="0" borderId="0"/>
    <xf numFmtId="0" fontId="8" fillId="0" borderId="0"/>
    <xf numFmtId="0" fontId="8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40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42" fillId="0" borderId="0">
      <alignment horizontal="left"/>
    </xf>
    <xf numFmtId="0" fontId="42" fillId="0" borderId="0">
      <alignment horizontal="left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2" fillId="0" borderId="0">
      <alignment horizontal="left"/>
    </xf>
    <xf numFmtId="0" fontId="42" fillId="0" borderId="0">
      <alignment horizontal="left"/>
    </xf>
    <xf numFmtId="0" fontId="32" fillId="0" borderId="0">
      <alignment horizontal="center"/>
    </xf>
    <xf numFmtId="0" fontId="42" fillId="0" borderId="0">
      <alignment horizontal="left"/>
    </xf>
    <xf numFmtId="0" fontId="42" fillId="0" borderId="0">
      <alignment horizontal="left"/>
    </xf>
    <xf numFmtId="0" fontId="32" fillId="0" borderId="0"/>
    <xf numFmtId="0" fontId="32" fillId="0" borderId="0"/>
    <xf numFmtId="0" fontId="44" fillId="0" borderId="0">
      <alignment vertical="center"/>
    </xf>
    <xf numFmtId="0" fontId="44" fillId="0" borderId="0">
      <alignment vertical="center"/>
    </xf>
    <xf numFmtId="0" fontId="32" fillId="0" borderId="0"/>
    <xf numFmtId="0" fontId="32" fillId="0" borderId="0"/>
    <xf numFmtId="0" fontId="45" fillId="0" borderId="0"/>
    <xf numFmtId="0" fontId="32" fillId="0" borderId="0"/>
    <xf numFmtId="0" fontId="32" fillId="0" borderId="0"/>
    <xf numFmtId="0" fontId="45" fillId="0" borderId="0"/>
    <xf numFmtId="0" fontId="8" fillId="0" borderId="0"/>
    <xf numFmtId="0" fontId="32" fillId="0" borderId="0"/>
    <xf numFmtId="0" fontId="32" fillId="0" borderId="0"/>
    <xf numFmtId="0" fontId="4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5" fillId="0" borderId="0"/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1" fillId="0" borderId="0"/>
    <xf numFmtId="0" fontId="41" fillId="0" borderId="0"/>
    <xf numFmtId="0" fontId="32" fillId="0" borderId="0">
      <alignment horizontal="center"/>
    </xf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horizontal="center"/>
    </xf>
    <xf numFmtId="0" fontId="41" fillId="0" borderId="0"/>
    <xf numFmtId="0" fontId="32" fillId="0" borderId="0"/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8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1" fillId="0" borderId="0"/>
    <xf numFmtId="0" fontId="32" fillId="0" borderId="0"/>
    <xf numFmtId="0" fontId="32" fillId="0" borderId="0">
      <alignment horizontal="center"/>
    </xf>
    <xf numFmtId="0" fontId="32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32" fillId="0" borderId="0"/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5" fillId="0" borderId="0"/>
    <xf numFmtId="0" fontId="32" fillId="0" borderId="0"/>
    <xf numFmtId="0" fontId="32" fillId="0" borderId="0"/>
    <xf numFmtId="0" fontId="32" fillId="0" borderId="0">
      <alignment horizontal="center"/>
    </xf>
    <xf numFmtId="3" fontId="46" fillId="25" borderId="14"/>
    <xf numFmtId="3" fontId="46" fillId="25" borderId="14"/>
    <xf numFmtId="3" fontId="46" fillId="26" borderId="14"/>
    <xf numFmtId="3" fontId="46" fillId="26" borderId="14"/>
    <xf numFmtId="3" fontId="46" fillId="26" borderId="14"/>
    <xf numFmtId="3" fontId="46" fillId="25" borderId="14"/>
    <xf numFmtId="3" fontId="46" fillId="25" borderId="14"/>
    <xf numFmtId="3" fontId="46" fillId="26" borderId="14"/>
    <xf numFmtId="3" fontId="46" fillId="26" borderId="14"/>
    <xf numFmtId="3" fontId="46" fillId="26" borderId="14"/>
    <xf numFmtId="3" fontId="46" fillId="25" borderId="14"/>
    <xf numFmtId="3" fontId="46" fillId="25" borderId="14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27" borderId="15" applyNumberFormat="0" applyFont="0" applyAlignment="0" applyProtection="0"/>
    <xf numFmtId="0" fontId="32" fillId="27" borderId="15" applyNumberFormat="0" applyFont="0" applyAlignment="0" applyProtection="0"/>
    <xf numFmtId="0" fontId="11" fillId="27" borderId="15" applyNumberFormat="0" applyFont="0" applyAlignment="0" applyProtection="0"/>
    <xf numFmtId="0" fontId="32" fillId="27" borderId="15" applyNumberFormat="0" applyFont="0" applyAlignment="0" applyProtection="0"/>
    <xf numFmtId="0" fontId="11" fillId="27" borderId="15" applyNumberFormat="0" applyFont="0" applyAlignment="0" applyProtection="0"/>
    <xf numFmtId="0" fontId="11" fillId="27" borderId="15" applyNumberFormat="0" applyFont="0" applyAlignment="0" applyProtection="0"/>
    <xf numFmtId="0" fontId="11" fillId="27" borderId="15" applyNumberFormat="0" applyFont="0" applyAlignment="0" applyProtection="0"/>
    <xf numFmtId="0" fontId="32" fillId="27" borderId="15" applyNumberFormat="0" applyFont="0" applyAlignment="0" applyProtection="0"/>
    <xf numFmtId="0" fontId="40" fillId="27" borderId="15" applyNumberFormat="0" applyFont="0" applyAlignment="0" applyProtection="0"/>
    <xf numFmtId="0" fontId="32" fillId="27" borderId="15" applyNumberFormat="0" applyFont="0" applyAlignment="0" applyProtection="0"/>
    <xf numFmtId="0" fontId="32" fillId="27" borderId="15" applyNumberFormat="0" applyFont="0" applyAlignment="0" applyProtection="0"/>
    <xf numFmtId="0" fontId="32" fillId="27" borderId="15" applyNumberFormat="0" applyFont="0" applyAlignment="0" applyProtection="0"/>
    <xf numFmtId="0" fontId="32" fillId="27" borderId="15" applyNumberFormat="0" applyFont="0" applyAlignment="0" applyProtection="0"/>
    <xf numFmtId="0" fontId="40" fillId="27" borderId="15" applyNumberFormat="0" applyFont="0" applyAlignment="0" applyProtection="0"/>
    <xf numFmtId="0" fontId="40" fillId="27" borderId="15" applyNumberFormat="0" applyFont="0" applyAlignment="0" applyProtection="0"/>
    <xf numFmtId="0" fontId="40" fillId="27" borderId="15" applyNumberFormat="0" applyFont="0" applyAlignment="0" applyProtection="0"/>
    <xf numFmtId="0" fontId="32" fillId="27" borderId="15" applyNumberFormat="0" applyFont="0" applyAlignment="0" applyProtection="0"/>
    <xf numFmtId="0" fontId="8" fillId="27" borderId="15" applyNumberFormat="0" applyFont="0" applyAlignment="0" applyProtection="0"/>
    <xf numFmtId="0" fontId="32" fillId="27" borderId="15" applyNumberFormat="0" applyFont="0" applyAlignment="0" applyProtection="0"/>
    <xf numFmtId="0" fontId="8" fillId="27" borderId="15" applyNumberFormat="0" applyFont="0" applyAlignment="0" applyProtection="0"/>
    <xf numFmtId="0" fontId="8" fillId="27" borderId="15" applyNumberFormat="0" applyFont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11" fillId="0" borderId="0"/>
    <xf numFmtId="0" fontId="32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32" fillId="0" borderId="0">
      <alignment horizontal="center"/>
    </xf>
    <xf numFmtId="0" fontId="40" fillId="0" borderId="0">
      <alignment horizontal="center"/>
    </xf>
    <xf numFmtId="0" fontId="32" fillId="0" borderId="0">
      <alignment horizontal="center"/>
    </xf>
    <xf numFmtId="0" fontId="11" fillId="0" borderId="0"/>
    <xf numFmtId="0" fontId="11" fillId="0" borderId="0"/>
    <xf numFmtId="0" fontId="32" fillId="0" borderId="0"/>
    <xf numFmtId="0" fontId="46" fillId="4" borderId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50" fillId="0" borderId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23" fillId="5" borderId="0" applyNumberFormat="0" applyBorder="0" applyAlignment="0" applyProtection="0"/>
    <xf numFmtId="0" fontId="2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27" borderId="26" applyNumberFormat="0" applyFont="0" applyAlignment="0" applyProtection="0"/>
    <xf numFmtId="0" fontId="8" fillId="27" borderId="26" applyNumberFormat="0" applyFont="0" applyAlignment="0" applyProtection="0"/>
    <xf numFmtId="0" fontId="32" fillId="27" borderId="26" applyNumberFormat="0" applyFont="0" applyAlignment="0" applyProtection="0"/>
    <xf numFmtId="0" fontId="8" fillId="27" borderId="26" applyNumberFormat="0" applyFont="0" applyAlignment="0" applyProtection="0"/>
    <xf numFmtId="0" fontId="32" fillId="27" borderId="26" applyNumberFormat="0" applyFont="0" applyAlignment="0" applyProtection="0"/>
    <xf numFmtId="0" fontId="40" fillId="27" borderId="26" applyNumberFormat="0" applyFont="0" applyAlignment="0" applyProtection="0"/>
    <xf numFmtId="0" fontId="40" fillId="27" borderId="26" applyNumberFormat="0" applyFont="0" applyAlignment="0" applyProtection="0"/>
    <xf numFmtId="0" fontId="40" fillId="27" borderId="26" applyNumberFormat="0" applyFont="0" applyAlignment="0" applyProtection="0"/>
    <xf numFmtId="0" fontId="32" fillId="27" borderId="26" applyNumberFormat="0" applyFont="0" applyAlignment="0" applyProtection="0"/>
    <xf numFmtId="0" fontId="32" fillId="27" borderId="26" applyNumberFormat="0" applyFont="0" applyAlignment="0" applyProtection="0"/>
    <xf numFmtId="0" fontId="32" fillId="27" borderId="26" applyNumberFormat="0" applyFont="0" applyAlignment="0" applyProtection="0"/>
    <xf numFmtId="0" fontId="32" fillId="27" borderId="26" applyNumberFormat="0" applyFont="0" applyAlignment="0" applyProtection="0"/>
    <xf numFmtId="0" fontId="40" fillId="27" borderId="26" applyNumberFormat="0" applyFont="0" applyAlignment="0" applyProtection="0"/>
    <xf numFmtId="0" fontId="32" fillId="27" borderId="26" applyNumberFormat="0" applyFont="0" applyAlignment="0" applyProtection="0"/>
    <xf numFmtId="0" fontId="11" fillId="27" borderId="26" applyNumberFormat="0" applyFont="0" applyAlignment="0" applyProtection="0"/>
    <xf numFmtId="0" fontId="11" fillId="27" borderId="26" applyNumberFormat="0" applyFont="0" applyAlignment="0" applyProtection="0"/>
    <xf numFmtId="0" fontId="11" fillId="27" borderId="26" applyNumberFormat="0" applyFont="0" applyAlignment="0" applyProtection="0"/>
    <xf numFmtId="0" fontId="32" fillId="27" borderId="26" applyNumberFormat="0" applyFont="0" applyAlignment="0" applyProtection="0"/>
    <xf numFmtId="0" fontId="11" fillId="27" borderId="26" applyNumberFormat="0" applyFont="0" applyAlignment="0" applyProtection="0"/>
    <xf numFmtId="0" fontId="32" fillId="27" borderId="26" applyNumberFormat="0" applyFont="0" applyAlignment="0" applyProtection="0"/>
    <xf numFmtId="0" fontId="32" fillId="27" borderId="26" applyNumberFormat="0" applyFont="0" applyAlignment="0" applyProtection="0"/>
    <xf numFmtId="0" fontId="14" fillId="0" borderId="27">
      <alignment horizontal="center" textRotation="90" wrapText="1"/>
    </xf>
    <xf numFmtId="0" fontId="14" fillId="0" borderId="27">
      <alignment horizontal="center" vertical="center" wrapText="1"/>
    </xf>
    <xf numFmtId="0" fontId="29" fillId="8" borderId="28" applyNumberFormat="0" applyAlignment="0" applyProtection="0"/>
    <xf numFmtId="0" fontId="29" fillId="8" borderId="28" applyNumberFormat="0" applyAlignment="0" applyProtection="0"/>
    <xf numFmtId="0" fontId="13" fillId="8" borderId="28" applyNumberFormat="0" applyAlignment="0" applyProtection="0"/>
    <xf numFmtId="0" fontId="29" fillId="8" borderId="28" applyNumberFormat="0" applyAlignment="0" applyProtection="0"/>
    <xf numFmtId="0" fontId="13" fillId="8" borderId="28" applyNumberFormat="0" applyAlignment="0" applyProtection="0"/>
    <xf numFmtId="0" fontId="13" fillId="8" borderId="28" applyNumberFormat="0" applyAlignment="0" applyProtection="0"/>
    <xf numFmtId="0" fontId="13" fillId="8" borderId="28" applyNumberFormat="0" applyAlignment="0" applyProtection="0"/>
    <xf numFmtId="0" fontId="29" fillId="8" borderId="28" applyNumberFormat="0" applyAlignment="0" applyProtection="0"/>
    <xf numFmtId="0" fontId="29" fillId="8" borderId="28" applyNumberFormat="0" applyAlignment="0" applyProtection="0"/>
    <xf numFmtId="0" fontId="30" fillId="22" borderId="29" applyNumberFormat="0" applyAlignment="0" applyProtection="0"/>
    <xf numFmtId="0" fontId="30" fillId="22" borderId="29" applyNumberFormat="0" applyAlignment="0" applyProtection="0"/>
    <xf numFmtId="0" fontId="29" fillId="22" borderId="29" applyNumberFormat="0" applyAlignment="0" applyProtection="0"/>
    <xf numFmtId="0" fontId="30" fillId="22" borderId="29" applyNumberFormat="0" applyAlignment="0" applyProtection="0"/>
    <xf numFmtId="0" fontId="29" fillId="22" borderId="29" applyNumberFormat="0" applyAlignment="0" applyProtection="0"/>
    <xf numFmtId="0" fontId="29" fillId="22" borderId="29" applyNumberFormat="0" applyAlignment="0" applyProtection="0"/>
    <xf numFmtId="0" fontId="29" fillId="22" borderId="29" applyNumberFormat="0" applyAlignment="0" applyProtection="0"/>
    <xf numFmtId="0" fontId="30" fillId="22" borderId="29" applyNumberFormat="0" applyAlignment="0" applyProtection="0"/>
    <xf numFmtId="0" fontId="30" fillId="22" borderId="29" applyNumberFormat="0" applyAlignment="0" applyProtection="0"/>
    <xf numFmtId="0" fontId="31" fillId="22" borderId="28" applyNumberFormat="0" applyAlignment="0" applyProtection="0"/>
    <xf numFmtId="0" fontId="31" fillId="22" borderId="28" applyNumberFormat="0" applyAlignment="0" applyProtection="0"/>
    <xf numFmtId="0" fontId="30" fillId="22" borderId="28" applyNumberFormat="0" applyAlignment="0" applyProtection="0"/>
    <xf numFmtId="0" fontId="31" fillId="22" borderId="28" applyNumberFormat="0" applyAlignment="0" applyProtection="0"/>
    <xf numFmtId="0" fontId="30" fillId="22" borderId="28" applyNumberFormat="0" applyAlignment="0" applyProtection="0"/>
    <xf numFmtId="0" fontId="30" fillId="22" borderId="28" applyNumberFormat="0" applyAlignment="0" applyProtection="0"/>
    <xf numFmtId="0" fontId="30" fillId="22" borderId="28" applyNumberFormat="0" applyAlignment="0" applyProtection="0"/>
    <xf numFmtId="0" fontId="31" fillId="22" borderId="28" applyNumberFormat="0" applyAlignment="0" applyProtection="0"/>
    <xf numFmtId="0" fontId="31" fillId="22" borderId="28" applyNumberFormat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5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5" fillId="0" borderId="30" applyNumberFormat="0" applyFill="0" applyAlignment="0" applyProtection="0"/>
    <xf numFmtId="0" fontId="36" fillId="0" borderId="30" applyNumberFormat="0" applyFill="0" applyAlignment="0" applyProtection="0"/>
    <xf numFmtId="0" fontId="35" fillId="0" borderId="30" applyNumberFormat="0" applyFill="0" applyAlignment="0" applyProtection="0"/>
    <xf numFmtId="0" fontId="35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6" fillId="0" borderId="25" applyNumberFormat="0" applyFill="0" applyAlignment="0" applyProtection="0"/>
    <xf numFmtId="0" fontId="35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5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6" fillId="0" borderId="25" applyNumberFormat="0" applyFill="0" applyAlignment="0" applyProtection="0"/>
    <xf numFmtId="0" fontId="31" fillId="22" borderId="23" applyNumberFormat="0" applyAlignment="0" applyProtection="0"/>
    <xf numFmtId="0" fontId="31" fillId="22" borderId="23" applyNumberFormat="0" applyAlignment="0" applyProtection="0"/>
    <xf numFmtId="0" fontId="30" fillId="22" borderId="23" applyNumberFormat="0" applyAlignment="0" applyProtection="0"/>
    <xf numFmtId="0" fontId="30" fillId="22" borderId="23" applyNumberFormat="0" applyAlignment="0" applyProtection="0"/>
    <xf numFmtId="0" fontId="30" fillId="22" borderId="23" applyNumberFormat="0" applyAlignment="0" applyProtection="0"/>
    <xf numFmtId="0" fontId="31" fillId="22" borderId="23" applyNumberFormat="0" applyAlignment="0" applyProtection="0"/>
    <xf numFmtId="0" fontId="30" fillId="22" borderId="23" applyNumberFormat="0" applyAlignment="0" applyProtection="0"/>
    <xf numFmtId="0" fontId="31" fillId="22" borderId="23" applyNumberFormat="0" applyAlignment="0" applyProtection="0"/>
    <xf numFmtId="0" fontId="31" fillId="22" borderId="23" applyNumberFormat="0" applyAlignment="0" applyProtection="0"/>
    <xf numFmtId="0" fontId="30" fillId="22" borderId="24" applyNumberFormat="0" applyAlignment="0" applyProtection="0"/>
    <xf numFmtId="0" fontId="30" fillId="22" borderId="24" applyNumberFormat="0" applyAlignment="0" applyProtection="0"/>
    <xf numFmtId="0" fontId="29" fillId="22" borderId="24" applyNumberFormat="0" applyAlignment="0" applyProtection="0"/>
    <xf numFmtId="0" fontId="29" fillId="22" borderId="24" applyNumberFormat="0" applyAlignment="0" applyProtection="0"/>
    <xf numFmtId="0" fontId="29" fillId="22" borderId="24" applyNumberFormat="0" applyAlignment="0" applyProtection="0"/>
    <xf numFmtId="0" fontId="30" fillId="22" borderId="24" applyNumberFormat="0" applyAlignment="0" applyProtection="0"/>
    <xf numFmtId="0" fontId="29" fillId="22" borderId="24" applyNumberFormat="0" applyAlignment="0" applyProtection="0"/>
    <xf numFmtId="0" fontId="30" fillId="22" borderId="24" applyNumberFormat="0" applyAlignment="0" applyProtection="0"/>
    <xf numFmtId="0" fontId="30" fillId="22" borderId="24" applyNumberFormat="0" applyAlignment="0" applyProtection="0"/>
    <xf numFmtId="0" fontId="29" fillId="8" borderId="23" applyNumberFormat="0" applyAlignment="0" applyProtection="0"/>
    <xf numFmtId="0" fontId="29" fillId="8" borderId="23" applyNumberFormat="0" applyAlignment="0" applyProtection="0"/>
    <xf numFmtId="0" fontId="13" fillId="8" borderId="23" applyNumberFormat="0" applyAlignment="0" applyProtection="0"/>
    <xf numFmtId="0" fontId="13" fillId="8" borderId="23" applyNumberFormat="0" applyAlignment="0" applyProtection="0"/>
    <xf numFmtId="0" fontId="13" fillId="8" borderId="23" applyNumberFormat="0" applyAlignment="0" applyProtection="0"/>
    <xf numFmtId="0" fontId="29" fillId="8" borderId="23" applyNumberFormat="0" applyAlignment="0" applyProtection="0"/>
    <xf numFmtId="0" fontId="13" fillId="8" borderId="23" applyNumberFormat="0" applyAlignment="0" applyProtection="0"/>
    <xf numFmtId="0" fontId="29" fillId="8" borderId="23" applyNumberFormat="0" applyAlignment="0" applyProtection="0"/>
    <xf numFmtId="0" fontId="29" fillId="8" borderId="23" applyNumberFormat="0" applyAlignment="0" applyProtection="0"/>
    <xf numFmtId="0" fontId="14" fillId="0" borderId="14">
      <alignment horizontal="center" vertical="center" wrapText="1"/>
    </xf>
    <xf numFmtId="0" fontId="14" fillId="0" borderId="14">
      <alignment horizontal="center" textRotation="90" wrapText="1"/>
    </xf>
    <xf numFmtId="0" fontId="32" fillId="27" borderId="31" applyNumberFormat="0" applyFont="0" applyAlignment="0" applyProtection="0"/>
    <xf numFmtId="0" fontId="32" fillId="27" borderId="31" applyNumberFormat="0" applyFont="0" applyAlignment="0" applyProtection="0"/>
    <xf numFmtId="0" fontId="11" fillId="27" borderId="31" applyNumberFormat="0" applyFont="0" applyAlignment="0" applyProtection="0"/>
    <xf numFmtId="0" fontId="32" fillId="27" borderId="31" applyNumberFormat="0" applyFont="0" applyAlignment="0" applyProtection="0"/>
    <xf numFmtId="0" fontId="11" fillId="27" borderId="31" applyNumberFormat="0" applyFont="0" applyAlignment="0" applyProtection="0"/>
    <xf numFmtId="0" fontId="11" fillId="27" borderId="31" applyNumberFormat="0" applyFont="0" applyAlignment="0" applyProtection="0"/>
    <xf numFmtId="0" fontId="11" fillId="27" borderId="31" applyNumberFormat="0" applyFont="0" applyAlignment="0" applyProtection="0"/>
    <xf numFmtId="0" fontId="32" fillId="27" borderId="31" applyNumberFormat="0" applyFont="0" applyAlignment="0" applyProtection="0"/>
    <xf numFmtId="0" fontId="40" fillId="27" borderId="31" applyNumberFormat="0" applyFont="0" applyAlignment="0" applyProtection="0"/>
    <xf numFmtId="0" fontId="32" fillId="27" borderId="31" applyNumberFormat="0" applyFont="0" applyAlignment="0" applyProtection="0"/>
    <xf numFmtId="0" fontId="32" fillId="27" borderId="31" applyNumberFormat="0" applyFont="0" applyAlignment="0" applyProtection="0"/>
    <xf numFmtId="0" fontId="32" fillId="27" borderId="31" applyNumberFormat="0" applyFont="0" applyAlignment="0" applyProtection="0"/>
    <xf numFmtId="0" fontId="32" fillId="27" borderId="31" applyNumberFormat="0" applyFont="0" applyAlignment="0" applyProtection="0"/>
    <xf numFmtId="0" fontId="40" fillId="27" borderId="31" applyNumberFormat="0" applyFont="0" applyAlignment="0" applyProtection="0"/>
    <xf numFmtId="0" fontId="40" fillId="27" borderId="31" applyNumberFormat="0" applyFont="0" applyAlignment="0" applyProtection="0"/>
    <xf numFmtId="0" fontId="40" fillId="27" borderId="31" applyNumberFormat="0" applyFont="0" applyAlignment="0" applyProtection="0"/>
    <xf numFmtId="0" fontId="32" fillId="27" borderId="31" applyNumberFormat="0" applyFont="0" applyAlignment="0" applyProtection="0"/>
    <xf numFmtId="0" fontId="8" fillId="27" borderId="31" applyNumberFormat="0" applyFont="0" applyAlignment="0" applyProtection="0"/>
    <xf numFmtId="0" fontId="32" fillId="27" borderId="31" applyNumberFormat="0" applyFont="0" applyAlignment="0" applyProtection="0"/>
    <xf numFmtId="0" fontId="8" fillId="27" borderId="31" applyNumberFormat="0" applyFont="0" applyAlignment="0" applyProtection="0"/>
    <xf numFmtId="0" fontId="8" fillId="27" borderId="31" applyNumberFormat="0" applyFont="0" applyAlignment="0" applyProtection="0"/>
  </cellStyleXfs>
  <cellXfs count="271">
    <xf numFmtId="0" fontId="0" fillId="0" borderId="0" xfId="0"/>
    <xf numFmtId="0" fontId="62" fillId="0" borderId="14" xfId="0" applyFont="1" applyBorder="1"/>
    <xf numFmtId="0" fontId="62" fillId="0" borderId="14" xfId="0" applyFont="1" applyBorder="1" applyAlignment="1">
      <alignment wrapText="1"/>
    </xf>
    <xf numFmtId="0" fontId="61" fillId="0" borderId="14" xfId="0" applyFont="1" applyBorder="1" applyAlignment="1">
      <alignment wrapText="1"/>
    </xf>
    <xf numFmtId="2" fontId="62" fillId="0" borderId="14" xfId="0" applyNumberFormat="1" applyFont="1" applyBorder="1"/>
    <xf numFmtId="0" fontId="61" fillId="0" borderId="14" xfId="0" applyFont="1" applyBorder="1"/>
    <xf numFmtId="0" fontId="61" fillId="28" borderId="14" xfId="0" applyFont="1" applyFill="1" applyBorder="1"/>
    <xf numFmtId="0" fontId="61" fillId="0" borderId="14" xfId="0" applyFont="1" applyFill="1" applyBorder="1"/>
    <xf numFmtId="2" fontId="61" fillId="30" borderId="14" xfId="0" applyNumberFormat="1" applyFont="1" applyFill="1" applyBorder="1"/>
    <xf numFmtId="2" fontId="61" fillId="0" borderId="14" xfId="0" applyNumberFormat="1" applyFont="1" applyBorder="1"/>
    <xf numFmtId="0" fontId="61" fillId="30" borderId="14" xfId="0" applyFont="1" applyFill="1" applyBorder="1"/>
    <xf numFmtId="2" fontId="61" fillId="28" borderId="14" xfId="0" applyNumberFormat="1" applyFont="1" applyFill="1" applyBorder="1"/>
    <xf numFmtId="2" fontId="62" fillId="28" borderId="14" xfId="0" applyNumberFormat="1" applyFont="1" applyFill="1" applyBorder="1"/>
    <xf numFmtId="0" fontId="0" fillId="29" borderId="0" xfId="0" applyFill="1"/>
    <xf numFmtId="0" fontId="62" fillId="28" borderId="14" xfId="0" applyFont="1" applyFill="1" applyBorder="1" applyAlignment="1">
      <alignment vertical="center" wrapText="1"/>
    </xf>
    <xf numFmtId="0" fontId="62" fillId="30" borderId="14" xfId="0" applyFont="1" applyFill="1" applyBorder="1" applyAlignment="1">
      <alignment horizontal="center" vertical="center" wrapText="1"/>
    </xf>
    <xf numFmtId="0" fontId="62" fillId="29" borderId="14" xfId="0" applyFont="1" applyFill="1" applyBorder="1" applyAlignment="1">
      <alignment vertical="center" wrapText="1"/>
    </xf>
    <xf numFmtId="0" fontId="62" fillId="29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/>
    </xf>
    <xf numFmtId="0" fontId="66" fillId="0" borderId="14" xfId="0" applyFont="1" applyBorder="1" applyAlignment="1">
      <alignment vertical="center" wrapText="1"/>
    </xf>
    <xf numFmtId="0" fontId="61" fillId="0" borderId="14" xfId="0" applyFont="1" applyBorder="1" applyAlignment="1">
      <alignment vertical="center"/>
    </xf>
    <xf numFmtId="2" fontId="66" fillId="0" borderId="14" xfId="0" applyNumberFormat="1" applyFont="1" applyBorder="1" applyAlignment="1">
      <alignment vertical="center"/>
    </xf>
    <xf numFmtId="2" fontId="66" fillId="30" borderId="14" xfId="0" applyNumberFormat="1" applyFont="1" applyFill="1" applyBorder="1" applyAlignment="1">
      <alignment vertical="center"/>
    </xf>
    <xf numFmtId="0" fontId="66" fillId="29" borderId="14" xfId="0" applyFont="1" applyFill="1" applyBorder="1" applyAlignment="1">
      <alignment vertical="center"/>
    </xf>
    <xf numFmtId="2" fontId="66" fillId="29" borderId="14" xfId="0" applyNumberFormat="1" applyFont="1" applyFill="1" applyBorder="1" applyAlignment="1">
      <alignment vertical="center"/>
    </xf>
    <xf numFmtId="2" fontId="62" fillId="30" borderId="14" xfId="0" applyNumberFormat="1" applyFont="1" applyFill="1" applyBorder="1"/>
    <xf numFmtId="0" fontId="62" fillId="29" borderId="14" xfId="0" applyFont="1" applyFill="1" applyBorder="1"/>
    <xf numFmtId="0" fontId="62" fillId="30" borderId="14" xfId="0" applyFont="1" applyFill="1" applyBorder="1"/>
    <xf numFmtId="168" fontId="62" fillId="0" borderId="14" xfId="0" applyNumberFormat="1" applyFont="1" applyBorder="1"/>
    <xf numFmtId="2" fontId="62" fillId="29" borderId="14" xfId="0" applyNumberFormat="1" applyFont="1" applyFill="1" applyBorder="1"/>
    <xf numFmtId="0" fontId="61" fillId="29" borderId="14" xfId="0" applyFont="1" applyFill="1" applyBorder="1"/>
    <xf numFmtId="168" fontId="61" fillId="28" borderId="14" xfId="0" applyNumberFormat="1" applyFont="1" applyFill="1" applyBorder="1"/>
    <xf numFmtId="2" fontId="61" fillId="0" borderId="14" xfId="0" applyNumberFormat="1" applyFont="1" applyFill="1" applyBorder="1"/>
    <xf numFmtId="168" fontId="61" fillId="30" borderId="14" xfId="0" applyNumberFormat="1" applyFont="1" applyFill="1" applyBorder="1"/>
    <xf numFmtId="2" fontId="62" fillId="0" borderId="14" xfId="0" applyNumberFormat="1" applyFont="1" applyFill="1" applyBorder="1"/>
    <xf numFmtId="0" fontId="63" fillId="0" borderId="14" xfId="0" applyFont="1" applyBorder="1"/>
    <xf numFmtId="168" fontId="62" fillId="30" borderId="14" xfId="0" applyNumberFormat="1" applyFont="1" applyFill="1" applyBorder="1"/>
    <xf numFmtId="2" fontId="61" fillId="0" borderId="14" xfId="0" applyNumberFormat="1" applyFont="1" applyBorder="1" applyAlignment="1"/>
    <xf numFmtId="2" fontId="61" fillId="30" borderId="14" xfId="0" applyNumberFormat="1" applyFont="1" applyFill="1" applyBorder="1" applyAlignment="1"/>
    <xf numFmtId="0" fontId="61" fillId="29" borderId="14" xfId="0" applyFont="1" applyFill="1" applyBorder="1" applyAlignment="1"/>
    <xf numFmtId="0" fontId="61" fillId="30" borderId="14" xfId="0" applyFont="1" applyFill="1" applyBorder="1" applyAlignment="1"/>
    <xf numFmtId="2" fontId="61" fillId="0" borderId="14" xfId="0" applyNumberFormat="1" applyFont="1" applyFill="1" applyBorder="1" applyAlignment="1"/>
    <xf numFmtId="2" fontId="61" fillId="29" borderId="14" xfId="0" applyNumberFormat="1" applyFont="1" applyFill="1" applyBorder="1" applyAlignment="1"/>
    <xf numFmtId="0" fontId="63" fillId="0" borderId="14" xfId="0" applyFont="1" applyBorder="1" applyAlignment="1">
      <alignment vertical="center" wrapText="1"/>
    </xf>
    <xf numFmtId="0" fontId="66" fillId="0" borderId="14" xfId="0" applyFont="1" applyBorder="1"/>
    <xf numFmtId="2" fontId="66" fillId="0" borderId="14" xfId="0" applyNumberFormat="1" applyFont="1" applyBorder="1"/>
    <xf numFmtId="2" fontId="66" fillId="30" borderId="14" xfId="0" applyNumberFormat="1" applyFont="1" applyFill="1" applyBorder="1"/>
    <xf numFmtId="0" fontId="66" fillId="29" borderId="14" xfId="0" applyFont="1" applyFill="1" applyBorder="1"/>
    <xf numFmtId="0" fontId="66" fillId="30" borderId="14" xfId="0" applyFont="1" applyFill="1" applyBorder="1"/>
    <xf numFmtId="2" fontId="64" fillId="29" borderId="14" xfId="0" applyNumberFormat="1" applyFont="1" applyFill="1" applyBorder="1" applyAlignment="1">
      <alignment vertical="center"/>
    </xf>
    <xf numFmtId="0" fontId="66" fillId="0" borderId="14" xfId="0" applyFont="1" applyBorder="1" applyAlignment="1">
      <alignment horizontal="center" vertical="center"/>
    </xf>
    <xf numFmtId="2" fontId="66" fillId="29" borderId="14" xfId="0" applyNumberFormat="1" applyFont="1" applyFill="1" applyBorder="1"/>
    <xf numFmtId="0" fontId="66" fillId="28" borderId="14" xfId="0" applyFont="1" applyFill="1" applyBorder="1"/>
    <xf numFmtId="168" fontId="66" fillId="30" borderId="14" xfId="0" applyNumberFormat="1" applyFont="1" applyFill="1" applyBorder="1"/>
    <xf numFmtId="169" fontId="66" fillId="28" borderId="14" xfId="0" applyNumberFormat="1" applyFont="1" applyFill="1" applyBorder="1" applyAlignment="1">
      <alignment vertical="center"/>
    </xf>
    <xf numFmtId="169" fontId="66" fillId="30" borderId="14" xfId="0" applyNumberFormat="1" applyFont="1" applyFill="1" applyBorder="1" applyAlignment="1">
      <alignment vertical="center"/>
    </xf>
    <xf numFmtId="169" fontId="66" fillId="29" borderId="14" xfId="0" applyNumberFormat="1" applyFont="1" applyFill="1" applyBorder="1" applyAlignment="1">
      <alignment vertical="center"/>
    </xf>
    <xf numFmtId="169" fontId="66" fillId="28" borderId="14" xfId="0" applyNumberFormat="1" applyFont="1" applyFill="1" applyBorder="1" applyAlignment="1">
      <alignment horizontal="center" vertical="center" wrapText="1"/>
    </xf>
    <xf numFmtId="2" fontId="6" fillId="29" borderId="14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/>
    </xf>
    <xf numFmtId="169" fontId="6" fillId="0" borderId="14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9" borderId="21" xfId="1" applyNumberFormat="1" applyFont="1" applyFill="1" applyBorder="1" applyAlignment="1">
      <alignment horizontal="center" vertical="center" wrapText="1"/>
    </xf>
    <xf numFmtId="2" fontId="6" fillId="29" borderId="21" xfId="1" applyNumberFormat="1" applyFont="1" applyFill="1" applyBorder="1" applyAlignment="1">
      <alignment horizontal="center" vertical="center" wrapText="1"/>
    </xf>
    <xf numFmtId="169" fontId="6" fillId="0" borderId="21" xfId="1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68" fontId="3" fillId="0" borderId="14" xfId="0" applyNumberFormat="1" applyFont="1" applyFill="1" applyBorder="1" applyAlignment="1">
      <alignment vertical="center"/>
    </xf>
    <xf numFmtId="0" fontId="55" fillId="0" borderId="14" xfId="531" applyFont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68" fillId="0" borderId="0" xfId="531" applyFont="1" applyAlignment="1">
      <alignment vertical="center" wrapText="1"/>
    </xf>
    <xf numFmtId="0" fontId="68" fillId="0" borderId="0" xfId="531" applyFont="1" applyBorder="1" applyAlignment="1">
      <alignment vertical="center" wrapText="1"/>
    </xf>
    <xf numFmtId="2" fontId="9" fillId="0" borderId="14" xfId="1" applyNumberFormat="1" applyFont="1" applyFill="1" applyBorder="1" applyAlignment="1">
      <alignment horizontal="center" vertical="center" wrapText="1"/>
    </xf>
    <xf numFmtId="2" fontId="9" fillId="0" borderId="14" xfId="1" applyNumberFormat="1" applyFont="1" applyFill="1" applyBorder="1" applyAlignment="1">
      <alignment horizontal="left" vertical="center" wrapText="1"/>
    </xf>
    <xf numFmtId="4" fontId="3" fillId="0" borderId="14" xfId="2" applyNumberFormat="1" applyFont="1" applyFill="1" applyBorder="1" applyAlignment="1">
      <alignment vertical="center"/>
    </xf>
    <xf numFmtId="2" fontId="9" fillId="0" borderId="14" xfId="1" applyNumberFormat="1" applyFont="1" applyFill="1" applyBorder="1" applyAlignment="1">
      <alignment horizontal="left" vertical="center"/>
    </xf>
    <xf numFmtId="1" fontId="9" fillId="0" borderId="14" xfId="1" applyNumberFormat="1" applyFont="1" applyFill="1" applyBorder="1" applyAlignment="1">
      <alignment horizontal="center"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4" fontId="7" fillId="0" borderId="14" xfId="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9" fillId="0" borderId="14" xfId="1" applyNumberFormat="1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3" fillId="0" borderId="14" xfId="2" applyNumberFormat="1" applyFont="1" applyFill="1" applyBorder="1" applyAlignment="1">
      <alignment horizontal="center" vertical="center"/>
    </xf>
    <xf numFmtId="4" fontId="6" fillId="0" borderId="14" xfId="1" applyNumberFormat="1" applyFont="1" applyFill="1" applyBorder="1" applyAlignment="1">
      <alignment horizontal="center" vertical="center" wrapText="1"/>
    </xf>
    <xf numFmtId="4" fontId="6" fillId="29" borderId="14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2" fontId="58" fillId="0" borderId="22" xfId="1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4" fontId="59" fillId="0" borderId="14" xfId="2" applyNumberFormat="1" applyFont="1" applyFill="1" applyBorder="1" applyAlignment="1">
      <alignment vertical="center"/>
    </xf>
    <xf numFmtId="1" fontId="60" fillId="0" borderId="14" xfId="1" applyNumberFormat="1" applyFont="1" applyFill="1" applyBorder="1" applyAlignment="1">
      <alignment horizontal="center" vertical="center" wrapText="1"/>
    </xf>
    <xf numFmtId="2" fontId="60" fillId="0" borderId="14" xfId="1" applyNumberFormat="1" applyFont="1" applyFill="1" applyBorder="1" applyAlignment="1">
      <alignment horizontal="left" vertical="center" wrapText="1"/>
    </xf>
    <xf numFmtId="2" fontId="60" fillId="0" borderId="14" xfId="1" applyNumberFormat="1" applyFont="1" applyFill="1" applyBorder="1" applyAlignment="1">
      <alignment horizontal="center" vertical="center" wrapText="1"/>
    </xf>
    <xf numFmtId="4" fontId="60" fillId="0" borderId="14" xfId="1" applyNumberFormat="1" applyFont="1" applyFill="1" applyBorder="1" applyAlignment="1">
      <alignment vertical="center" wrapText="1"/>
    </xf>
    <xf numFmtId="4" fontId="54" fillId="0" borderId="14" xfId="2" applyNumberFormat="1" applyFont="1" applyFill="1" applyBorder="1" applyAlignment="1">
      <alignment vertical="center"/>
    </xf>
    <xf numFmtId="2" fontId="60" fillId="0" borderId="14" xfId="1" applyNumberFormat="1" applyFont="1" applyFill="1" applyBorder="1" applyAlignment="1">
      <alignment horizontal="left" vertical="center"/>
    </xf>
    <xf numFmtId="4" fontId="54" fillId="0" borderId="14" xfId="2" applyNumberFormat="1" applyFont="1" applyFill="1" applyBorder="1" applyAlignment="1">
      <alignment horizontal="center" vertical="center"/>
    </xf>
    <xf numFmtId="49" fontId="60" fillId="0" borderId="14" xfId="1" applyNumberFormat="1" applyFont="1" applyFill="1" applyBorder="1" applyAlignment="1">
      <alignment horizontal="center" vertical="center" wrapText="1"/>
    </xf>
    <xf numFmtId="4" fontId="60" fillId="0" borderId="14" xfId="1" applyNumberFormat="1" applyFont="1" applyFill="1" applyBorder="1" applyAlignment="1">
      <alignment horizontal="center" vertical="center" wrapText="1"/>
    </xf>
    <xf numFmtId="4" fontId="58" fillId="29" borderId="14" xfId="1" applyNumberFormat="1" applyFont="1" applyFill="1" applyBorder="1" applyAlignment="1">
      <alignment horizontal="center" vertical="center" wrapText="1"/>
    </xf>
    <xf numFmtId="4" fontId="58" fillId="0" borderId="14" xfId="1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0" fontId="0" fillId="0" borderId="0" xfId="0"/>
    <xf numFmtId="0" fontId="55" fillId="0" borderId="17" xfId="531" applyFont="1" applyBorder="1" applyAlignment="1"/>
    <xf numFmtId="0" fontId="55" fillId="0" borderId="0" xfId="531" applyFont="1"/>
    <xf numFmtId="169" fontId="55" fillId="0" borderId="0" xfId="531" applyNumberFormat="1" applyFont="1"/>
    <xf numFmtId="0" fontId="55" fillId="0" borderId="0" xfId="656" applyFont="1"/>
    <xf numFmtId="169" fontId="69" fillId="30" borderId="32" xfId="0" applyNumberFormat="1" applyFont="1" applyFill="1" applyBorder="1" applyAlignment="1">
      <alignment horizontal="center" vertical="center"/>
    </xf>
    <xf numFmtId="2" fontId="70" fillId="30" borderId="32" xfId="531" applyNumberFormat="1" applyFont="1" applyFill="1" applyBorder="1" applyAlignment="1">
      <alignment horizontal="right" vertical="center"/>
    </xf>
    <xf numFmtId="0" fontId="55" fillId="0" borderId="32" xfId="531" applyFont="1" applyBorder="1" applyAlignment="1">
      <alignment horizontal="center" vertical="center" wrapText="1"/>
    </xf>
    <xf numFmtId="0" fontId="55" fillId="0" borderId="32" xfId="531" applyFont="1" applyBorder="1"/>
    <xf numFmtId="0" fontId="55" fillId="0" borderId="32" xfId="531" applyFont="1" applyBorder="1" applyAlignment="1"/>
    <xf numFmtId="0" fontId="52" fillId="0" borderId="32" xfId="531" applyFont="1" applyBorder="1"/>
    <xf numFmtId="0" fontId="52" fillId="29" borderId="32" xfId="531" applyFont="1" applyFill="1" applyBorder="1"/>
    <xf numFmtId="169" fontId="55" fillId="0" borderId="32" xfId="531" applyNumberFormat="1" applyFont="1" applyBorder="1"/>
    <xf numFmtId="2" fontId="55" fillId="0" borderId="32" xfId="531" applyNumberFormat="1" applyFont="1" applyBorder="1"/>
    <xf numFmtId="169" fontId="52" fillId="29" borderId="32" xfId="531" applyNumberFormat="1" applyFont="1" applyFill="1" applyBorder="1"/>
    <xf numFmtId="168" fontId="55" fillId="0" borderId="32" xfId="531" applyNumberFormat="1" applyFont="1" applyBorder="1"/>
    <xf numFmtId="2" fontId="52" fillId="29" borderId="32" xfId="531" applyNumberFormat="1" applyFont="1" applyFill="1" applyBorder="1"/>
    <xf numFmtId="168" fontId="52" fillId="0" borderId="32" xfId="531" applyNumberFormat="1" applyFont="1" applyBorder="1"/>
    <xf numFmtId="168" fontId="52" fillId="29" borderId="32" xfId="531" applyNumberFormat="1" applyFont="1" applyFill="1" applyBorder="1"/>
    <xf numFmtId="0" fontId="55" fillId="0" borderId="32" xfId="531" applyFont="1" applyBorder="1" applyAlignment="1">
      <alignment horizontal="left" vertical="center" wrapText="1"/>
    </xf>
    <xf numFmtId="2" fontId="52" fillId="0" borderId="32" xfId="531" applyNumberFormat="1" applyFont="1" applyBorder="1"/>
    <xf numFmtId="1" fontId="55" fillId="0" borderId="32" xfId="531" applyNumberFormat="1" applyFont="1" applyBorder="1"/>
    <xf numFmtId="1" fontId="52" fillId="29" borderId="32" xfId="531" applyNumberFormat="1" applyFont="1" applyFill="1" applyBorder="1"/>
    <xf numFmtId="169" fontId="55" fillId="0" borderId="32" xfId="531" applyNumberFormat="1" applyFont="1" applyBorder="1" applyAlignment="1">
      <alignment horizontal="center" vertical="center" wrapText="1"/>
    </xf>
    <xf numFmtId="169" fontId="55" fillId="0" borderId="32" xfId="531" applyNumberFormat="1" applyFont="1" applyBorder="1" applyAlignment="1">
      <alignment horizontal="center" vertical="center"/>
    </xf>
    <xf numFmtId="0" fontId="55" fillId="0" borderId="32" xfId="531" applyFont="1" applyBorder="1" applyAlignment="1">
      <alignment horizontal="center" vertical="center"/>
    </xf>
    <xf numFmtId="2" fontId="55" fillId="0" borderId="32" xfId="531" applyNumberFormat="1" applyFont="1" applyBorder="1" applyAlignment="1">
      <alignment horizontal="center" vertical="center" wrapText="1"/>
    </xf>
    <xf numFmtId="169" fontId="62" fillId="30" borderId="14" xfId="0" applyNumberFormat="1" applyFont="1" applyFill="1" applyBorder="1"/>
    <xf numFmtId="2" fontId="62" fillId="0" borderId="14" xfId="0" applyNumberFormat="1" applyFont="1" applyBorder="1" applyAlignment="1">
      <alignment vertical="center"/>
    </xf>
    <xf numFmtId="2" fontId="62" fillId="30" borderId="14" xfId="0" applyNumberFormat="1" applyFont="1" applyFill="1" applyBorder="1" applyAlignment="1">
      <alignment vertical="center"/>
    </xf>
    <xf numFmtId="0" fontId="62" fillId="28" borderId="1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/>
    </xf>
    <xf numFmtId="49" fontId="9" fillId="0" borderId="32" xfId="1" applyNumberFormat="1" applyFont="1" applyFill="1" applyBorder="1" applyAlignment="1">
      <alignment horizontal="center" vertical="center" wrapText="1"/>
    </xf>
    <xf numFmtId="2" fontId="9" fillId="0" borderId="32" xfId="1" applyNumberFormat="1" applyFont="1" applyFill="1" applyBorder="1" applyAlignment="1">
      <alignment horizontal="left" vertical="center" wrapText="1"/>
    </xf>
    <xf numFmtId="2" fontId="9" fillId="0" borderId="32" xfId="1" applyNumberFormat="1" applyFont="1" applyFill="1" applyBorder="1" applyAlignment="1">
      <alignment horizontal="center" vertical="center" wrapText="1"/>
    </xf>
    <xf numFmtId="168" fontId="3" fillId="0" borderId="32" xfId="0" applyNumberFormat="1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55" fillId="0" borderId="14" xfId="531" applyFont="1" applyBorder="1" applyAlignment="1">
      <alignment horizontal="center" vertical="center" wrapText="1"/>
    </xf>
    <xf numFmtId="0" fontId="52" fillId="30" borderId="32" xfId="531" applyFont="1" applyFill="1" applyBorder="1"/>
    <xf numFmtId="0" fontId="55" fillId="30" borderId="32" xfId="531" applyFont="1" applyFill="1" applyBorder="1"/>
    <xf numFmtId="2" fontId="52" fillId="30" borderId="32" xfId="531" applyNumberFormat="1" applyFont="1" applyFill="1" applyBorder="1"/>
    <xf numFmtId="169" fontId="52" fillId="30" borderId="32" xfId="531" applyNumberFormat="1" applyFont="1" applyFill="1" applyBorder="1"/>
    <xf numFmtId="169" fontId="55" fillId="29" borderId="32" xfId="531" applyNumberFormat="1" applyFont="1" applyFill="1" applyBorder="1"/>
    <xf numFmtId="4" fontId="3" fillId="29" borderId="14" xfId="2" applyNumberFormat="1" applyFont="1" applyFill="1" applyBorder="1" applyAlignment="1">
      <alignment horizontal="center" vertical="center"/>
    </xf>
    <xf numFmtId="2" fontId="6" fillId="0" borderId="2" xfId="1" applyNumberFormat="1" applyFont="1" applyFill="1" applyBorder="1" applyAlignment="1">
      <alignment horizontal="center" vertical="center" wrapText="1"/>
    </xf>
    <xf numFmtId="169" fontId="6" fillId="0" borderId="32" xfId="1" applyNumberFormat="1" applyFont="1" applyFill="1" applyBorder="1" applyAlignment="1">
      <alignment horizontal="center" vertical="center" wrapText="1"/>
    </xf>
    <xf numFmtId="4" fontId="7" fillId="0" borderId="32" xfId="2" applyNumberFormat="1" applyFont="1" applyFill="1" applyBorder="1" applyAlignment="1">
      <alignment vertical="center"/>
    </xf>
    <xf numFmtId="170" fontId="6" fillId="0" borderId="14" xfId="1" applyNumberFormat="1" applyFont="1" applyFill="1" applyBorder="1" applyAlignment="1">
      <alignment horizontal="center" vertical="center" wrapText="1"/>
    </xf>
    <xf numFmtId="171" fontId="6" fillId="0" borderId="32" xfId="1" applyNumberFormat="1" applyFont="1" applyFill="1" applyBorder="1" applyAlignment="1">
      <alignment horizontal="center" vertical="center" wrapText="1"/>
    </xf>
    <xf numFmtId="4" fontId="54" fillId="29" borderId="14" xfId="2" applyNumberFormat="1" applyFont="1" applyFill="1" applyBorder="1" applyAlignment="1">
      <alignment horizontal="center" vertical="center"/>
    </xf>
    <xf numFmtId="2" fontId="58" fillId="0" borderId="32" xfId="1" applyNumberFormat="1" applyFont="1" applyFill="1" applyBorder="1" applyAlignment="1">
      <alignment horizontal="center" vertical="center" wrapText="1"/>
    </xf>
    <xf numFmtId="2" fontId="58" fillId="0" borderId="32" xfId="1" applyNumberFormat="1" applyFont="1" applyFill="1" applyBorder="1" applyAlignment="1">
      <alignment horizontal="left" vertical="center" wrapText="1"/>
    </xf>
    <xf numFmtId="4" fontId="59" fillId="0" borderId="32" xfId="2" applyNumberFormat="1" applyFont="1" applyFill="1" applyBorder="1" applyAlignment="1">
      <alignment vertical="center"/>
    </xf>
    <xf numFmtId="170" fontId="58" fillId="0" borderId="14" xfId="1" applyNumberFormat="1" applyFont="1" applyFill="1" applyBorder="1" applyAlignment="1">
      <alignment horizontal="center" vertical="center" wrapText="1"/>
    </xf>
    <xf numFmtId="171" fontId="58" fillId="0" borderId="32" xfId="1" applyNumberFormat="1" applyFont="1" applyFill="1" applyBorder="1" applyAlignment="1">
      <alignment horizontal="center" vertical="center" wrapText="1"/>
    </xf>
    <xf numFmtId="2" fontId="61" fillId="0" borderId="14" xfId="0" applyNumberFormat="1" applyFont="1" applyBorder="1" applyAlignment="1">
      <alignment horizontal="center" vertical="center"/>
    </xf>
    <xf numFmtId="169" fontId="66" fillId="28" borderId="14" xfId="0" applyNumberFormat="1" applyFont="1" applyFill="1" applyBorder="1" applyAlignment="1">
      <alignment vertical="center" wrapText="1"/>
    </xf>
    <xf numFmtId="2" fontId="66" fillId="29" borderId="32" xfId="0" applyNumberFormat="1" applyFont="1" applyFill="1" applyBorder="1" applyAlignment="1">
      <alignment vertical="center"/>
    </xf>
    <xf numFmtId="169" fontId="66" fillId="29" borderId="32" xfId="0" applyNumberFormat="1" applyFont="1" applyFill="1" applyBorder="1" applyAlignment="1">
      <alignment vertical="center"/>
    </xf>
    <xf numFmtId="0" fontId="74" fillId="0" borderId="0" xfId="0" applyFont="1"/>
    <xf numFmtId="0" fontId="52" fillId="0" borderId="0" xfId="531" applyFont="1" applyBorder="1"/>
    <xf numFmtId="0" fontId="52" fillId="30" borderId="0" xfId="531" applyFont="1" applyFill="1" applyBorder="1"/>
    <xf numFmtId="2" fontId="52" fillId="29" borderId="0" xfId="531" applyNumberFormat="1" applyFont="1" applyFill="1" applyBorder="1"/>
    <xf numFmtId="2" fontId="66" fillId="31" borderId="14" xfId="0" applyNumberFormat="1" applyFont="1" applyFill="1" applyBorder="1" applyAlignment="1">
      <alignment vertical="center"/>
    </xf>
    <xf numFmtId="0" fontId="61" fillId="31" borderId="14" xfId="0" applyFont="1" applyFill="1" applyBorder="1"/>
    <xf numFmtId="2" fontId="9" fillId="0" borderId="32" xfId="1" applyNumberFormat="1" applyFont="1" applyFill="1" applyBorder="1" applyAlignment="1">
      <alignment horizontal="left" vertical="center"/>
    </xf>
    <xf numFmtId="2" fontId="61" fillId="31" borderId="14" xfId="0" applyNumberFormat="1" applyFont="1" applyFill="1" applyBorder="1"/>
    <xf numFmtId="0" fontId="61" fillId="31" borderId="14" xfId="0" applyFont="1" applyFill="1" applyBorder="1" applyAlignment="1"/>
    <xf numFmtId="2" fontId="66" fillId="31" borderId="32" xfId="0" applyNumberFormat="1" applyFont="1" applyFill="1" applyBorder="1" applyAlignment="1">
      <alignment vertical="center"/>
    </xf>
    <xf numFmtId="2" fontId="64" fillId="31" borderId="14" xfId="0" applyNumberFormat="1" applyFont="1" applyFill="1" applyBorder="1" applyAlignment="1">
      <alignment vertical="center"/>
    </xf>
    <xf numFmtId="0" fontId="61" fillId="0" borderId="32" xfId="0" applyFont="1" applyBorder="1" applyAlignment="1">
      <alignment wrapText="1"/>
    </xf>
    <xf numFmtId="2" fontId="61" fillId="0" borderId="32" xfId="0" applyNumberFormat="1" applyFont="1" applyBorder="1"/>
    <xf numFmtId="2" fontId="61" fillId="30" borderId="32" xfId="0" applyNumberFormat="1" applyFont="1" applyFill="1" applyBorder="1"/>
    <xf numFmtId="0" fontId="61" fillId="29" borderId="32" xfId="0" applyFont="1" applyFill="1" applyBorder="1"/>
    <xf numFmtId="0" fontId="61" fillId="28" borderId="32" xfId="0" applyFont="1" applyFill="1" applyBorder="1"/>
    <xf numFmtId="0" fontId="61" fillId="30" borderId="32" xfId="0" applyFont="1" applyFill="1" applyBorder="1"/>
    <xf numFmtId="2" fontId="61" fillId="0" borderId="32" xfId="0" applyNumberFormat="1" applyFont="1" applyFill="1" applyBorder="1"/>
    <xf numFmtId="2" fontId="66" fillId="30" borderId="32" xfId="0" applyNumberFormat="1" applyFont="1" applyFill="1" applyBorder="1" applyAlignment="1">
      <alignment vertical="center"/>
    </xf>
    <xf numFmtId="2" fontId="61" fillId="31" borderId="32" xfId="0" applyNumberFormat="1" applyFont="1" applyFill="1" applyBorder="1"/>
    <xf numFmtId="0" fontId="66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right"/>
    </xf>
    <xf numFmtId="0" fontId="61" fillId="0" borderId="14" xfId="0" applyFont="1" applyBorder="1" applyAlignment="1">
      <alignment horizontal="right"/>
    </xf>
    <xf numFmtId="0" fontId="61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 horizontal="right" vertical="center"/>
    </xf>
    <xf numFmtId="0" fontId="66" fillId="0" borderId="14" xfId="0" applyFont="1" applyBorder="1" applyAlignment="1">
      <alignment horizontal="right"/>
    </xf>
    <xf numFmtId="2" fontId="61" fillId="0" borderId="14" xfId="0" applyNumberFormat="1" applyFont="1" applyBorder="1" applyAlignment="1">
      <alignment horizontal="right"/>
    </xf>
    <xf numFmtId="2" fontId="62" fillId="0" borderId="14" xfId="0" applyNumberFormat="1" applyFont="1" applyBorder="1" applyAlignment="1">
      <alignment horizontal="right"/>
    </xf>
    <xf numFmtId="0" fontId="61" fillId="0" borderId="32" xfId="0" applyFont="1" applyBorder="1" applyAlignment="1">
      <alignment horizontal="right"/>
    </xf>
    <xf numFmtId="2" fontId="64" fillId="29" borderId="32" xfId="0" applyNumberFormat="1" applyFont="1" applyFill="1" applyBorder="1" applyAlignment="1">
      <alignment vertical="center"/>
    </xf>
    <xf numFmtId="0" fontId="61" fillId="0" borderId="32" xfId="0" applyFont="1" applyBorder="1" applyAlignment="1">
      <alignment horizontal="right" vertical="center"/>
    </xf>
    <xf numFmtId="0" fontId="67" fillId="0" borderId="32" xfId="0" applyFont="1" applyBorder="1" applyAlignment="1">
      <alignment wrapText="1"/>
    </xf>
    <xf numFmtId="2" fontId="61" fillId="0" borderId="32" xfId="0" applyNumberFormat="1" applyFont="1" applyBorder="1" applyAlignment="1">
      <alignment vertical="center"/>
    </xf>
    <xf numFmtId="168" fontId="61" fillId="30" borderId="32" xfId="0" applyNumberFormat="1" applyFont="1" applyFill="1" applyBorder="1" applyAlignment="1">
      <alignment vertical="center"/>
    </xf>
    <xf numFmtId="2" fontId="73" fillId="0" borderId="32" xfId="531" applyNumberFormat="1" applyFont="1" applyBorder="1" applyAlignment="1">
      <alignment horizontal="center" vertical="center"/>
    </xf>
    <xf numFmtId="0" fontId="9" fillId="0" borderId="32" xfId="531" applyFont="1" applyBorder="1" applyAlignment="1">
      <alignment horizontal="left" wrapText="1"/>
    </xf>
    <xf numFmtId="0" fontId="9" fillId="0" borderId="32" xfId="456" applyFont="1" applyBorder="1" applyAlignment="1">
      <alignment vertical="center" wrapText="1"/>
    </xf>
    <xf numFmtId="0" fontId="61" fillId="0" borderId="32" xfId="0" applyFont="1" applyBorder="1"/>
    <xf numFmtId="2" fontId="61" fillId="28" borderId="32" xfId="0" applyNumberFormat="1" applyFont="1" applyFill="1" applyBorder="1"/>
    <xf numFmtId="0" fontId="75" fillId="0" borderId="0" xfId="0" applyFont="1"/>
    <xf numFmtId="0" fontId="64" fillId="29" borderId="14" xfId="0" applyNumberFormat="1" applyFont="1" applyFill="1" applyBorder="1" applyAlignment="1">
      <alignment vertical="center"/>
    </xf>
    <xf numFmtId="2" fontId="6" fillId="0" borderId="14" xfId="1" applyNumberFormat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left" vertical="center" wrapText="1"/>
    </xf>
    <xf numFmtId="2" fontId="58" fillId="0" borderId="14" xfId="1" applyNumberFormat="1" applyFont="1" applyFill="1" applyBorder="1" applyAlignment="1">
      <alignment horizontal="center" vertical="center" wrapText="1"/>
    </xf>
    <xf numFmtId="2" fontId="58" fillId="0" borderId="14" xfId="1" applyNumberFormat="1" applyFont="1" applyFill="1" applyBorder="1" applyAlignment="1">
      <alignment horizontal="left" vertical="center" wrapText="1"/>
    </xf>
    <xf numFmtId="0" fontId="55" fillId="0" borderId="17" xfId="531" applyFont="1" applyBorder="1" applyAlignment="1">
      <alignment horizontal="center" vertical="center"/>
    </xf>
    <xf numFmtId="0" fontId="55" fillId="0" borderId="17" xfId="531" applyFont="1" applyBorder="1" applyAlignment="1">
      <alignment horizontal="center" vertical="center" wrapText="1"/>
    </xf>
    <xf numFmtId="2" fontId="6" fillId="0" borderId="32" xfId="1" applyNumberFormat="1" applyFont="1" applyFill="1" applyBorder="1" applyAlignment="1">
      <alignment horizontal="center" vertical="center" wrapText="1"/>
    </xf>
    <xf numFmtId="2" fontId="6" fillId="0" borderId="32" xfId="1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vertical="center"/>
    </xf>
    <xf numFmtId="2" fontId="6" fillId="0" borderId="21" xfId="1" applyNumberFormat="1" applyFont="1" applyFill="1" applyBorder="1" applyAlignment="1">
      <alignment horizontal="center" vertical="center" wrapText="1"/>
    </xf>
    <xf numFmtId="2" fontId="6" fillId="0" borderId="22" xfId="1" applyNumberFormat="1" applyFont="1" applyFill="1" applyBorder="1" applyAlignment="1">
      <alignment horizontal="center" vertical="center" wrapText="1"/>
    </xf>
    <xf numFmtId="0" fontId="6" fillId="0" borderId="32" xfId="531" applyFont="1" applyBorder="1" applyAlignment="1">
      <alignment vertical="center" wrapText="1"/>
    </xf>
    <xf numFmtId="0" fontId="9" fillId="0" borderId="32" xfId="531" applyFont="1" applyBorder="1" applyAlignment="1">
      <alignment vertical="center" wrapText="1"/>
    </xf>
    <xf numFmtId="0" fontId="9" fillId="0" borderId="32" xfId="531" applyFont="1" applyBorder="1" applyAlignment="1">
      <alignment vertical="center" wrapText="1"/>
    </xf>
    <xf numFmtId="0" fontId="62" fillId="28" borderId="32" xfId="0" applyFont="1" applyFill="1" applyBorder="1" applyAlignment="1">
      <alignment horizontal="center" vertical="center" wrapText="1"/>
    </xf>
    <xf numFmtId="0" fontId="55" fillId="0" borderId="22" xfId="531" applyFont="1" applyBorder="1" applyAlignment="1">
      <alignment vertical="center" wrapText="1"/>
    </xf>
    <xf numFmtId="0" fontId="55" fillId="0" borderId="18" xfId="531" applyFont="1" applyBorder="1" applyAlignment="1">
      <alignment vertical="center" wrapText="1"/>
    </xf>
    <xf numFmtId="0" fontId="55" fillId="0" borderId="17" xfId="531" applyFont="1" applyBorder="1" applyAlignment="1">
      <alignment vertical="center" wrapText="1"/>
    </xf>
    <xf numFmtId="169" fontId="52" fillId="30" borderId="0" xfId="531" applyNumberFormat="1" applyFont="1" applyFill="1" applyBorder="1"/>
    <xf numFmtId="168" fontId="52" fillId="29" borderId="0" xfId="531" applyNumberFormat="1" applyFont="1" applyFill="1" applyBorder="1"/>
    <xf numFmtId="0" fontId="76" fillId="0" borderId="0" xfId="0" applyFont="1"/>
    <xf numFmtId="0" fontId="62" fillId="0" borderId="1" xfId="0" applyFont="1" applyBorder="1" applyAlignment="1">
      <alignment vertical="center" wrapText="1"/>
    </xf>
    <xf numFmtId="0" fontId="62" fillId="0" borderId="17" xfId="0" applyFont="1" applyBorder="1" applyAlignment="1">
      <alignment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6" fillId="29" borderId="2" xfId="0" applyFont="1" applyFill="1" applyBorder="1" applyAlignment="1">
      <alignment horizontal="center" vertical="center"/>
    </xf>
    <xf numFmtId="0" fontId="66" fillId="29" borderId="20" xfId="0" applyFont="1" applyFill="1" applyBorder="1" applyAlignment="1">
      <alignment horizontal="center" vertical="center"/>
    </xf>
    <xf numFmtId="0" fontId="66" fillId="29" borderId="19" xfId="0" applyFont="1" applyFill="1" applyBorder="1" applyAlignment="1">
      <alignment horizontal="center" vertical="center"/>
    </xf>
    <xf numFmtId="0" fontId="6" fillId="0" borderId="32" xfId="531" applyFont="1" applyBorder="1" applyAlignment="1">
      <alignment vertical="center" wrapText="1"/>
    </xf>
    <xf numFmtId="0" fontId="9" fillId="0" borderId="32" xfId="531" applyFont="1" applyBorder="1" applyAlignment="1">
      <alignment vertical="center" wrapText="1"/>
    </xf>
    <xf numFmtId="0" fontId="52" fillId="0" borderId="0" xfId="531" applyFont="1" applyBorder="1" applyAlignment="1">
      <alignment horizontal="center" vertical="center" wrapText="1"/>
    </xf>
    <xf numFmtId="0" fontId="52" fillId="0" borderId="6" xfId="531" applyFont="1" applyBorder="1" applyAlignment="1">
      <alignment horizontal="center" vertical="center" wrapText="1"/>
    </xf>
    <xf numFmtId="0" fontId="6" fillId="0" borderId="22" xfId="531" applyFont="1" applyBorder="1" applyAlignment="1">
      <alignment horizontal="center" vertical="center" wrapText="1"/>
    </xf>
    <xf numFmtId="0" fontId="9" fillId="0" borderId="17" xfId="531" applyFont="1" applyBorder="1" applyAlignment="1">
      <alignment horizontal="center" vertical="center" wrapText="1"/>
    </xf>
    <xf numFmtId="0" fontId="66" fillId="29" borderId="33" xfId="0" applyFont="1" applyFill="1" applyBorder="1" applyAlignment="1">
      <alignment horizontal="center" vertical="center"/>
    </xf>
    <xf numFmtId="0" fontId="68" fillId="0" borderId="0" xfId="531" applyFont="1" applyBorder="1" applyAlignment="1">
      <alignment horizontal="center" vertical="center" wrapText="1"/>
    </xf>
    <xf numFmtId="0" fontId="68" fillId="0" borderId="6" xfId="531" applyFont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center" vertical="center" wrapText="1"/>
    </xf>
    <xf numFmtId="2" fontId="6" fillId="0" borderId="14" xfId="1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2" fontId="58" fillId="0" borderId="14" xfId="1" applyNumberFormat="1" applyFont="1" applyFill="1" applyBorder="1" applyAlignment="1">
      <alignment horizontal="center" vertical="center" wrapText="1"/>
    </xf>
    <xf numFmtId="2" fontId="58" fillId="0" borderId="14" xfId="1" applyNumberFormat="1" applyFont="1" applyFill="1" applyBorder="1" applyAlignment="1">
      <alignment horizontal="left" vertical="center" wrapText="1"/>
    </xf>
    <xf numFmtId="0" fontId="55" fillId="0" borderId="22" xfId="531" applyFont="1" applyBorder="1" applyAlignment="1">
      <alignment horizontal="center" vertical="center"/>
    </xf>
    <xf numFmtId="0" fontId="55" fillId="0" borderId="17" xfId="531" applyFont="1" applyBorder="1" applyAlignment="1">
      <alignment horizontal="center" vertical="center"/>
    </xf>
    <xf numFmtId="0" fontId="55" fillId="0" borderId="22" xfId="531" applyFont="1" applyBorder="1" applyAlignment="1">
      <alignment horizontal="center" vertical="center" wrapText="1"/>
    </xf>
    <xf numFmtId="0" fontId="55" fillId="0" borderId="17" xfId="531" applyFont="1" applyBorder="1" applyAlignment="1">
      <alignment horizontal="center" vertical="center" wrapText="1"/>
    </xf>
    <xf numFmtId="0" fontId="55" fillId="0" borderId="22" xfId="531" applyFont="1" applyBorder="1" applyAlignment="1">
      <alignment horizontal="right" vertical="center"/>
    </xf>
    <xf numFmtId="0" fontId="55" fillId="0" borderId="17" xfId="531" applyFont="1" applyBorder="1" applyAlignment="1">
      <alignment horizontal="right" vertical="center"/>
    </xf>
    <xf numFmtId="0" fontId="52" fillId="0" borderId="0" xfId="531" applyFont="1" applyAlignment="1">
      <alignment horizontal="center" wrapText="1"/>
    </xf>
    <xf numFmtId="0" fontId="53" fillId="0" borderId="0" xfId="531" applyFont="1" applyAlignment="1">
      <alignment horizontal="center"/>
    </xf>
    <xf numFmtId="0" fontId="55" fillId="0" borderId="22" xfId="531" applyFont="1" applyBorder="1" applyAlignment="1">
      <alignment horizontal="left" wrapText="1"/>
    </xf>
    <xf numFmtId="0" fontId="55" fillId="0" borderId="17" xfId="531" applyFont="1" applyBorder="1" applyAlignment="1">
      <alignment horizontal="left" wrapText="1"/>
    </xf>
    <xf numFmtId="0" fontId="55" fillId="0" borderId="22" xfId="531" applyFont="1" applyBorder="1" applyAlignment="1">
      <alignment horizontal="center"/>
    </xf>
    <xf numFmtId="0" fontId="55" fillId="0" borderId="17" xfId="531" applyFont="1" applyBorder="1" applyAlignment="1">
      <alignment horizontal="center"/>
    </xf>
  </cellXfs>
  <cellStyles count="1064">
    <cellStyle name="_ЗРК№256 от 29.03.2010 прил1 рус" xfId="3"/>
    <cellStyle name="_ОТ АСИИ" xfId="4"/>
    <cellStyle name="_Перечень бип 2011-2013 гг 22.11.2010" xfId="5"/>
    <cellStyle name="_после корректоров Приложения 1-4, 6-11 (рус)" xfId="6"/>
    <cellStyle name="_Приложение 2 от 15.12.2010 г." xfId="7"/>
    <cellStyle name="_приложение 4 (рус)" xfId="8"/>
    <cellStyle name="_Прлиложения БИП рус,каз 1,20,21" xfId="9"/>
    <cellStyle name="_ПРОБЛЕМНЫЕ  2012-2014 (22.09.11)" xfId="10"/>
    <cellStyle name="_Свод численность на 2011 год 31.07.10" xfId="11"/>
    <cellStyle name="20% - Акцент1 2" xfId="12"/>
    <cellStyle name="20% - Акцент1 2 2" xfId="13"/>
    <cellStyle name="20% - Акцент1 2 2 2" xfId="14"/>
    <cellStyle name="20% - Акцент1 2 2 2 2" xfId="15"/>
    <cellStyle name="20% - Акцент1 2 2 3" xfId="16"/>
    <cellStyle name="20% - Акцент1 2 2_План финансирования на 2013 год" xfId="17"/>
    <cellStyle name="20% - Акцент1 2 3" xfId="18"/>
    <cellStyle name="20% - Акцент1 2 3 2" xfId="19"/>
    <cellStyle name="20% - Акцент1 2 4" xfId="20"/>
    <cellStyle name="20% - Акцент1 2 4 2" xfId="21"/>
    <cellStyle name="20% - Акцент1 2 5" xfId="22"/>
    <cellStyle name="20% - Акцент1 2_Август по объектно" xfId="23"/>
    <cellStyle name="20% - Акцент1 3" xfId="24"/>
    <cellStyle name="20% - Акцент1 4" xfId="25"/>
    <cellStyle name="20% - Акцент2 2" xfId="26"/>
    <cellStyle name="20% - Акцент2 2 2" xfId="27"/>
    <cellStyle name="20% - Акцент2 2 2 2" xfId="28"/>
    <cellStyle name="20% - Акцент2 2 2 2 2" xfId="29"/>
    <cellStyle name="20% - Акцент2 2 2 3" xfId="30"/>
    <cellStyle name="20% - Акцент2 2 2_План финансирования на 2013 год" xfId="31"/>
    <cellStyle name="20% - Акцент2 2 3" xfId="32"/>
    <cellStyle name="20% - Акцент2 2 3 2" xfId="33"/>
    <cellStyle name="20% - Акцент2 2 4" xfId="34"/>
    <cellStyle name="20% - Акцент2 2 4 2" xfId="35"/>
    <cellStyle name="20% - Акцент2 2 5" xfId="36"/>
    <cellStyle name="20% - Акцент2 2_План финансирования на 2013 год" xfId="37"/>
    <cellStyle name="20% - Акцент2 3" xfId="38"/>
    <cellStyle name="20% - Акцент2 4" xfId="39"/>
    <cellStyle name="20% - Акцент3 2" xfId="40"/>
    <cellStyle name="20% - Акцент3 2 2" xfId="41"/>
    <cellStyle name="20% - Акцент3 2 2 2" xfId="42"/>
    <cellStyle name="20% - Акцент3 2 2 2 2" xfId="43"/>
    <cellStyle name="20% - Акцент3 2 2 3" xfId="44"/>
    <cellStyle name="20% - Акцент3 2 2_План финансирования на 2013 год" xfId="45"/>
    <cellStyle name="20% - Акцент3 2 3" xfId="46"/>
    <cellStyle name="20% - Акцент3 2 3 2" xfId="47"/>
    <cellStyle name="20% - Акцент3 2 4" xfId="48"/>
    <cellStyle name="20% - Акцент3 2 4 2" xfId="49"/>
    <cellStyle name="20% - Акцент3 2 5" xfId="50"/>
    <cellStyle name="20% - Акцент3 2_Август по объектно" xfId="51"/>
    <cellStyle name="20% - Акцент3 3" xfId="52"/>
    <cellStyle name="20% - Акцент3 4" xfId="53"/>
    <cellStyle name="20% - Акцент4 2" xfId="54"/>
    <cellStyle name="20% - Акцент4 2 2" xfId="55"/>
    <cellStyle name="20% - Акцент4 2 2 2" xfId="56"/>
    <cellStyle name="20% - Акцент4 2 2 2 2" xfId="57"/>
    <cellStyle name="20% - Акцент4 2 2 3" xfId="58"/>
    <cellStyle name="20% - Акцент4 2 2_План финансирования на 2013 год" xfId="59"/>
    <cellStyle name="20% - Акцент4 2 3" xfId="60"/>
    <cellStyle name="20% - Акцент4 2 3 2" xfId="61"/>
    <cellStyle name="20% - Акцент4 2 4" xfId="62"/>
    <cellStyle name="20% - Акцент4 2 4 2" xfId="63"/>
    <cellStyle name="20% - Акцент4 2 5" xfId="64"/>
    <cellStyle name="20% - Акцент4 2_План финансирования на 2013 год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2 2 2" xfId="70"/>
    <cellStyle name="20% - Акцент5 2 2 2 2" xfId="71"/>
    <cellStyle name="20% - Акцент5 2 2 3" xfId="72"/>
    <cellStyle name="20% - Акцент5 2 2_План финансирования на 2013 год" xfId="73"/>
    <cellStyle name="20% - Акцент5 2 3" xfId="74"/>
    <cellStyle name="20% - Акцент5 2 3 2" xfId="75"/>
    <cellStyle name="20% - Акцент5 2 4" xfId="76"/>
    <cellStyle name="20% - Акцент5 2 4 2" xfId="77"/>
    <cellStyle name="20% - Акцент5 2 5" xfId="78"/>
    <cellStyle name="20% - Акцент5 2_План финансирования на 2013 год" xfId="79"/>
    <cellStyle name="20% - Акцент5 3" xfId="80"/>
    <cellStyle name="20% - Акцент5 4" xfId="81"/>
    <cellStyle name="20% - Акцент6 2" xfId="82"/>
    <cellStyle name="20% - Акцент6 2 2" xfId="83"/>
    <cellStyle name="20% - Акцент6 2 2 2" xfId="84"/>
    <cellStyle name="20% - Акцент6 2 2 2 2" xfId="85"/>
    <cellStyle name="20% - Акцент6 2 2 3" xfId="86"/>
    <cellStyle name="20% - Акцент6 2 2_План финансирования на 2013 год" xfId="87"/>
    <cellStyle name="20% - Акцент6 2 3" xfId="88"/>
    <cellStyle name="20% - Акцент6 2 3 2" xfId="89"/>
    <cellStyle name="20% - Акцент6 2 4" xfId="90"/>
    <cellStyle name="20% - Акцент6 2 4 2" xfId="91"/>
    <cellStyle name="20% - Акцент6 2 5" xfId="92"/>
    <cellStyle name="20% - Акцент6 2_Август по объектно" xfId="93"/>
    <cellStyle name="20% - Акцент6 3" xfId="94"/>
    <cellStyle name="20% - Акцент6 4" xfId="95"/>
    <cellStyle name="40% - Акцент1 2" xfId="96"/>
    <cellStyle name="40% - Акцент1 2 2" xfId="97"/>
    <cellStyle name="40% - Акцент1 2 2 2" xfId="98"/>
    <cellStyle name="40% - Акцент1 2 2 2 2" xfId="99"/>
    <cellStyle name="40% - Акцент1 2 2 3" xfId="100"/>
    <cellStyle name="40% - Акцент1 2 2_План финансирования на 2013 год" xfId="101"/>
    <cellStyle name="40% - Акцент1 2 3" xfId="102"/>
    <cellStyle name="40% - Акцент1 2 3 2" xfId="103"/>
    <cellStyle name="40% - Акцент1 2 4" xfId="104"/>
    <cellStyle name="40% - Акцент1 2 4 2" xfId="105"/>
    <cellStyle name="40% - Акцент1 2 5" xfId="106"/>
    <cellStyle name="40% - Акцент1 2_План финансирования на 2013 год" xfId="107"/>
    <cellStyle name="40% - Акцент1 3" xfId="108"/>
    <cellStyle name="40% - Акцент1 4" xfId="109"/>
    <cellStyle name="40% - Акцент2 2" xfId="110"/>
    <cellStyle name="40% - Акцент2 2 2" xfId="111"/>
    <cellStyle name="40% - Акцент2 2 2 2" xfId="112"/>
    <cellStyle name="40% - Акцент2 2 2 2 2" xfId="113"/>
    <cellStyle name="40% - Акцент2 2 2 3" xfId="114"/>
    <cellStyle name="40% - Акцент2 2 2_План финансирования на 2013 год" xfId="115"/>
    <cellStyle name="40% - Акцент2 2 3" xfId="116"/>
    <cellStyle name="40% - Акцент2 2 3 2" xfId="117"/>
    <cellStyle name="40% - Акцент2 2 4" xfId="118"/>
    <cellStyle name="40% - Акцент2 2 4 2" xfId="119"/>
    <cellStyle name="40% - Акцент2 2 5" xfId="120"/>
    <cellStyle name="40% - Акцент2 2_План финансирования на 2013 год" xfId="121"/>
    <cellStyle name="40% - Акцент2 3" xfId="122"/>
    <cellStyle name="40% - Акцент2 4" xfId="123"/>
    <cellStyle name="40% - Акцент3 2" xfId="124"/>
    <cellStyle name="40% - Акцент3 2 2" xfId="125"/>
    <cellStyle name="40% - Акцент3 2 2 2" xfId="126"/>
    <cellStyle name="40% - Акцент3 2 2 2 2" xfId="127"/>
    <cellStyle name="40% - Акцент3 2 2 3" xfId="128"/>
    <cellStyle name="40% - Акцент3 2 2_План финансирования на 2013 год" xfId="129"/>
    <cellStyle name="40% - Акцент3 2 3" xfId="130"/>
    <cellStyle name="40% - Акцент3 2 3 2" xfId="131"/>
    <cellStyle name="40% - Акцент3 2 4" xfId="132"/>
    <cellStyle name="40% - Акцент3 2 4 2" xfId="133"/>
    <cellStyle name="40% - Акцент3 2 5" xfId="134"/>
    <cellStyle name="40% - Акцент3 2_Август по объектно" xfId="135"/>
    <cellStyle name="40% - Акцент3 3" xfId="136"/>
    <cellStyle name="40% - Акцент3 4" xfId="137"/>
    <cellStyle name="40% - Акцент4 2" xfId="138"/>
    <cellStyle name="40% - Акцент4 2 2" xfId="139"/>
    <cellStyle name="40% - Акцент4 2 2 2" xfId="140"/>
    <cellStyle name="40% - Акцент4 2 2 2 2" xfId="141"/>
    <cellStyle name="40% - Акцент4 2 2 3" xfId="142"/>
    <cellStyle name="40% - Акцент4 2 2_План финансирования на 2013 год" xfId="143"/>
    <cellStyle name="40% - Акцент4 2 3" xfId="144"/>
    <cellStyle name="40% - Акцент4 2 3 2" xfId="145"/>
    <cellStyle name="40% - Акцент4 2 4" xfId="146"/>
    <cellStyle name="40% - Акцент4 2 4 2" xfId="147"/>
    <cellStyle name="40% - Акцент4 2 5" xfId="148"/>
    <cellStyle name="40% - Акцент4 2_План финансирования на 2013 год" xfId="149"/>
    <cellStyle name="40% - Акцент4 3" xfId="150"/>
    <cellStyle name="40% - Акцент4 4" xfId="151"/>
    <cellStyle name="40% - Акцент5 2" xfId="152"/>
    <cellStyle name="40% - Акцент5 2 2" xfId="153"/>
    <cellStyle name="40% - Акцент5 2 2 2" xfId="154"/>
    <cellStyle name="40% - Акцент5 2 2 2 2" xfId="155"/>
    <cellStyle name="40% - Акцент5 2 2 3" xfId="156"/>
    <cellStyle name="40% - Акцент5 2 2_План финансирования на 2013 год" xfId="157"/>
    <cellStyle name="40% - Акцент5 2 3" xfId="158"/>
    <cellStyle name="40% - Акцент5 2 3 2" xfId="159"/>
    <cellStyle name="40% - Акцент5 2 4" xfId="160"/>
    <cellStyle name="40% - Акцент5 2 4 2" xfId="161"/>
    <cellStyle name="40% - Акцент5 2 5" xfId="162"/>
    <cellStyle name="40% - Акцент5 2_План финансирования на 2013 год" xfId="163"/>
    <cellStyle name="40% - Акцент5 3" xfId="164"/>
    <cellStyle name="40% - Акцент5 4" xfId="165"/>
    <cellStyle name="40% - Акцент6 2" xfId="166"/>
    <cellStyle name="40% - Акцент6 2 2" xfId="167"/>
    <cellStyle name="40% - Акцент6 2 2 2" xfId="168"/>
    <cellStyle name="40% - Акцент6 2 2 2 2" xfId="169"/>
    <cellStyle name="40% - Акцент6 2 2 3" xfId="170"/>
    <cellStyle name="40% - Акцент6 2 2_План финансирования на 2013 год" xfId="171"/>
    <cellStyle name="40% - Акцент6 2 3" xfId="172"/>
    <cellStyle name="40% - Акцент6 2 3 2" xfId="173"/>
    <cellStyle name="40% - Акцент6 2 4" xfId="174"/>
    <cellStyle name="40% - Акцент6 2 4 2" xfId="175"/>
    <cellStyle name="40% - Акцент6 2 5" xfId="176"/>
    <cellStyle name="40% - Акцент6 2_План финансирования на 2013 год" xfId="177"/>
    <cellStyle name="40% - Акцент6 3" xfId="178"/>
    <cellStyle name="40% - Акцент6 4" xfId="179"/>
    <cellStyle name="60% - Акцент1 2" xfId="180"/>
    <cellStyle name="60% - Акцент1 2 2" xfId="181"/>
    <cellStyle name="60% - Акцент1 2 2 2" xfId="182"/>
    <cellStyle name="60% - Акцент1 2 3" xfId="183"/>
    <cellStyle name="60% - Акцент1 2 4" xfId="184"/>
    <cellStyle name="60% - Акцент1 2 5" xfId="185"/>
    <cellStyle name="60% - Акцент1 2_16 МСХ 13.09.11 с проблемными" xfId="186"/>
    <cellStyle name="60% - Акцент1 3" xfId="187"/>
    <cellStyle name="60% - Акцент2 2" xfId="188"/>
    <cellStyle name="60% - Акцент2 2 2" xfId="189"/>
    <cellStyle name="60% - Акцент2 2 2 2" xfId="190"/>
    <cellStyle name="60% - Акцент2 2 3" xfId="191"/>
    <cellStyle name="60% - Акцент2 2 4" xfId="192"/>
    <cellStyle name="60% - Акцент2 2 5" xfId="193"/>
    <cellStyle name="60% - Акцент2 2_16 МСХ 13.09.11 с проблемными" xfId="194"/>
    <cellStyle name="60% - Акцент2 3" xfId="195"/>
    <cellStyle name="60% - Акцент3 2" xfId="196"/>
    <cellStyle name="60% - Акцент3 2 2" xfId="197"/>
    <cellStyle name="60% - Акцент3 2 2 2" xfId="198"/>
    <cellStyle name="60% - Акцент3 2 3" xfId="199"/>
    <cellStyle name="60% - Акцент3 2 4" xfId="200"/>
    <cellStyle name="60% - Акцент3 2 5" xfId="201"/>
    <cellStyle name="60% - Акцент3 2_16 МСХ 13.09.11 с проблемными" xfId="202"/>
    <cellStyle name="60% - Акцент3 3" xfId="203"/>
    <cellStyle name="60% - Акцент4 2" xfId="204"/>
    <cellStyle name="60% - Акцент4 2 2" xfId="205"/>
    <cellStyle name="60% - Акцент4 2 2 2" xfId="206"/>
    <cellStyle name="60% - Акцент4 2 3" xfId="207"/>
    <cellStyle name="60% - Акцент4 2 4" xfId="208"/>
    <cellStyle name="60% - Акцент4 2 5" xfId="209"/>
    <cellStyle name="60% - Акцент4 2_16 МСХ 13.09.11 с проблемными" xfId="210"/>
    <cellStyle name="60% - Акцент4 3" xfId="211"/>
    <cellStyle name="60% - Акцент5 2" xfId="212"/>
    <cellStyle name="60% - Акцент5 2 2" xfId="213"/>
    <cellStyle name="60% - Акцент5 2 2 2" xfId="214"/>
    <cellStyle name="60% - Акцент5 2 3" xfId="215"/>
    <cellStyle name="60% - Акцент5 2 4" xfId="216"/>
    <cellStyle name="60% - Акцент5 2 5" xfId="217"/>
    <cellStyle name="60% - Акцент5 2_16 МСХ 13.09.11 с проблемными" xfId="218"/>
    <cellStyle name="60% - Акцент5 3" xfId="219"/>
    <cellStyle name="60% - Акцент6 2" xfId="220"/>
    <cellStyle name="60% - Акцент6 2 2" xfId="221"/>
    <cellStyle name="60% - Акцент6 2 2 2" xfId="222"/>
    <cellStyle name="60% - Акцент6 2 3" xfId="223"/>
    <cellStyle name="60% - Акцент6 2 4" xfId="224"/>
    <cellStyle name="60% - Акцент6 2 5" xfId="225"/>
    <cellStyle name="60% - Акцент6 2_16 МСХ 13.09.11 с проблемными" xfId="226"/>
    <cellStyle name="60% - Акцент6 3" xfId="227"/>
    <cellStyle name="Cell1" xfId="228"/>
    <cellStyle name="Cell2" xfId="229"/>
    <cellStyle name="Cell3" xfId="230"/>
    <cellStyle name="Cell4" xfId="231"/>
    <cellStyle name="Cell5" xfId="232"/>
    <cellStyle name="Column1" xfId="233"/>
    <cellStyle name="Column2" xfId="234"/>
    <cellStyle name="Column3" xfId="235"/>
    <cellStyle name="Column4" xfId="236"/>
    <cellStyle name="Column5" xfId="237"/>
    <cellStyle name="Column7" xfId="238"/>
    <cellStyle name="Data" xfId="239"/>
    <cellStyle name="Heading1" xfId="240"/>
    <cellStyle name="Heading2" xfId="241"/>
    <cellStyle name="Heading3" xfId="242"/>
    <cellStyle name="Heading4" xfId="243"/>
    <cellStyle name="Name1" xfId="244"/>
    <cellStyle name="Name2" xfId="245"/>
    <cellStyle name="Name3" xfId="246"/>
    <cellStyle name="Name4" xfId="247"/>
    <cellStyle name="Name5" xfId="248"/>
    <cellStyle name="Normal 5" xfId="249"/>
    <cellStyle name="Normal 6" xfId="250"/>
    <cellStyle name="Normal_Sheet1" xfId="251"/>
    <cellStyle name="S0" xfId="252"/>
    <cellStyle name="S0 2" xfId="253"/>
    <cellStyle name="S1" xfId="254"/>
    <cellStyle name="S1 2" xfId="255"/>
    <cellStyle name="S10" xfId="256"/>
    <cellStyle name="S10 2" xfId="257"/>
    <cellStyle name="S2" xfId="258"/>
    <cellStyle name="S2 2" xfId="259"/>
    <cellStyle name="S3" xfId="260"/>
    <cellStyle name="S3 2" xfId="261"/>
    <cellStyle name="S4" xfId="262"/>
    <cellStyle name="S4 2" xfId="263"/>
    <cellStyle name="S4_16 МСХ 13.09.11 с проблемными" xfId="264"/>
    <cellStyle name="S5" xfId="265"/>
    <cellStyle name="S5 2" xfId="266"/>
    <cellStyle name="S5_16 МСХ 13.09.11 с проблемными" xfId="267"/>
    <cellStyle name="S6" xfId="268"/>
    <cellStyle name="S6 2" xfId="269"/>
    <cellStyle name="S7" xfId="270"/>
    <cellStyle name="S7 2" xfId="271"/>
    <cellStyle name="S8" xfId="272"/>
    <cellStyle name="S8 2" xfId="273"/>
    <cellStyle name="S9" xfId="274"/>
    <cellStyle name="S9 2" xfId="275"/>
    <cellStyle name="S9_ПРОБЛЕМНЫЕ  2012-2014 (22.09.11)" xfId="276"/>
    <cellStyle name="Title1" xfId="277"/>
    <cellStyle name="TitleCol1" xfId="278"/>
    <cellStyle name="TitleCol1 2" xfId="1042"/>
    <cellStyle name="TitleCol1 3" xfId="959"/>
    <cellStyle name="TitleCol2" xfId="279"/>
    <cellStyle name="TitleCol2 2" xfId="1041"/>
    <cellStyle name="TitleCol2 3" xfId="960"/>
    <cellStyle name="White1" xfId="280"/>
    <cellStyle name="White2" xfId="281"/>
    <cellStyle name="White3" xfId="282"/>
    <cellStyle name="White4" xfId="283"/>
    <cellStyle name="White5" xfId="284"/>
    <cellStyle name="Акцент1 2" xfId="285"/>
    <cellStyle name="Акцент1 2 2" xfId="286"/>
    <cellStyle name="Акцент1 2 2 2" xfId="287"/>
    <cellStyle name="Акцент1 2 3" xfId="288"/>
    <cellStyle name="Акцент1 2 4" xfId="289"/>
    <cellStyle name="Акцент1 2 5" xfId="290"/>
    <cellStyle name="Акцент1 2_16 МСХ 13.09.11 с проблемными" xfId="291"/>
    <cellStyle name="Акцент1 3" xfId="292"/>
    <cellStyle name="Акцент2 2" xfId="293"/>
    <cellStyle name="Акцент2 2 2" xfId="294"/>
    <cellStyle name="Акцент2 2 2 2" xfId="295"/>
    <cellStyle name="Акцент2 2 3" xfId="296"/>
    <cellStyle name="Акцент2 2 4" xfId="297"/>
    <cellStyle name="Акцент2 2 5" xfId="298"/>
    <cellStyle name="Акцент2 2_16 МСХ 13.09.11 с проблемными" xfId="299"/>
    <cellStyle name="Акцент2 3" xfId="300"/>
    <cellStyle name="Акцент3 2" xfId="301"/>
    <cellStyle name="Акцент3 2 2" xfId="302"/>
    <cellStyle name="Акцент3 2 2 2" xfId="303"/>
    <cellStyle name="Акцент3 2 3" xfId="304"/>
    <cellStyle name="Акцент3 2 4" xfId="305"/>
    <cellStyle name="Акцент3 2 5" xfId="306"/>
    <cellStyle name="Акцент3 2_16 МСХ 13.09.11 с проблемными" xfId="307"/>
    <cellStyle name="Акцент3 3" xfId="308"/>
    <cellStyle name="Акцент4 2" xfId="309"/>
    <cellStyle name="Акцент4 2 2" xfId="310"/>
    <cellStyle name="Акцент4 2 2 2" xfId="311"/>
    <cellStyle name="Акцент4 2 3" xfId="312"/>
    <cellStyle name="Акцент4 2 4" xfId="313"/>
    <cellStyle name="Акцент4 2 5" xfId="314"/>
    <cellStyle name="Акцент4 2_16 МСХ 13.09.11 с проблемными" xfId="315"/>
    <cellStyle name="Акцент4 3" xfId="316"/>
    <cellStyle name="Акцент5 2" xfId="317"/>
    <cellStyle name="Акцент5 2 2" xfId="318"/>
    <cellStyle name="Акцент5 2 2 2" xfId="319"/>
    <cellStyle name="Акцент5 2 3" xfId="320"/>
    <cellStyle name="Акцент5 2 4" xfId="321"/>
    <cellStyle name="Акцент5 2 5" xfId="322"/>
    <cellStyle name="Акцент5 2_16 МСХ 13.09.11 с проблемными" xfId="323"/>
    <cellStyle name="Акцент5 3" xfId="324"/>
    <cellStyle name="Акцент6 2" xfId="325"/>
    <cellStyle name="Акцент6 2 2" xfId="326"/>
    <cellStyle name="Акцент6 2 2 2" xfId="327"/>
    <cellStyle name="Акцент6 2 3" xfId="328"/>
    <cellStyle name="Акцент6 2 4" xfId="329"/>
    <cellStyle name="Акцент6 2 5" xfId="330"/>
    <cellStyle name="Акцент6 2_16 МСХ 13.09.11 с проблемными" xfId="331"/>
    <cellStyle name="Акцент6 3" xfId="332"/>
    <cellStyle name="Ввод  2" xfId="333"/>
    <cellStyle name="Ввод  2 2" xfId="334"/>
    <cellStyle name="Ввод  2 2 2" xfId="335"/>
    <cellStyle name="Ввод  2 2 2 2" xfId="1038"/>
    <cellStyle name="Ввод  2 2 2 3" xfId="963"/>
    <cellStyle name="Ввод  2 2 3" xfId="336"/>
    <cellStyle name="Ввод  2 2 3 2" xfId="1037"/>
    <cellStyle name="Ввод  2 2 3 3" xfId="964"/>
    <cellStyle name="Ввод  2 2 4" xfId="1039"/>
    <cellStyle name="Ввод  2 2 5" xfId="962"/>
    <cellStyle name="Ввод  2 3" xfId="337"/>
    <cellStyle name="Ввод  2 3 2" xfId="1036"/>
    <cellStyle name="Ввод  2 3 3" xfId="965"/>
    <cellStyle name="Ввод  2 4" xfId="338"/>
    <cellStyle name="Ввод  2 4 2" xfId="1035"/>
    <cellStyle name="Ввод  2 4 3" xfId="966"/>
    <cellStyle name="Ввод  2 5" xfId="339"/>
    <cellStyle name="Ввод  2 5 2" xfId="1034"/>
    <cellStyle name="Ввод  2 5 3" xfId="967"/>
    <cellStyle name="Ввод  2 6" xfId="340"/>
    <cellStyle name="Ввод  2 6 2" xfId="1033"/>
    <cellStyle name="Ввод  2 6 3" xfId="968"/>
    <cellStyle name="Ввод  2 7" xfId="1040"/>
    <cellStyle name="Ввод  2 8" xfId="961"/>
    <cellStyle name="Ввод  2_Электроэнергия" xfId="341"/>
    <cellStyle name="Ввод  3" xfId="342"/>
    <cellStyle name="Ввод  3 2" xfId="1032"/>
    <cellStyle name="Ввод  3 3" xfId="969"/>
    <cellStyle name="Вывод 2" xfId="343"/>
    <cellStyle name="Вывод 2 2" xfId="344"/>
    <cellStyle name="Вывод 2 2 2" xfId="345"/>
    <cellStyle name="Вывод 2 2 2 2" xfId="1029"/>
    <cellStyle name="Вывод 2 2 2 3" xfId="972"/>
    <cellStyle name="Вывод 2 2 3" xfId="346"/>
    <cellStyle name="Вывод 2 2 3 2" xfId="1028"/>
    <cellStyle name="Вывод 2 2 3 3" xfId="973"/>
    <cellStyle name="Вывод 2 2 4" xfId="1030"/>
    <cellStyle name="Вывод 2 2 5" xfId="971"/>
    <cellStyle name="Вывод 2 3" xfId="347"/>
    <cellStyle name="Вывод 2 3 2" xfId="1027"/>
    <cellStyle name="Вывод 2 3 3" xfId="974"/>
    <cellStyle name="Вывод 2 4" xfId="348"/>
    <cellStyle name="Вывод 2 4 2" xfId="1026"/>
    <cellStyle name="Вывод 2 4 3" xfId="975"/>
    <cellStyle name="Вывод 2 5" xfId="349"/>
    <cellStyle name="Вывод 2 5 2" xfId="1025"/>
    <cellStyle name="Вывод 2 5 3" xfId="976"/>
    <cellStyle name="Вывод 2 6" xfId="350"/>
    <cellStyle name="Вывод 2 6 2" xfId="1024"/>
    <cellStyle name="Вывод 2 6 3" xfId="977"/>
    <cellStyle name="Вывод 2 7" xfId="1031"/>
    <cellStyle name="Вывод 2 8" xfId="970"/>
    <cellStyle name="Вывод 2_Электроэнергия" xfId="351"/>
    <cellStyle name="Вывод 3" xfId="352"/>
    <cellStyle name="Вывод 3 2" xfId="1023"/>
    <cellStyle name="Вывод 3 3" xfId="978"/>
    <cellStyle name="Вычисление 2" xfId="353"/>
    <cellStyle name="Вычисление 2 2" xfId="354"/>
    <cellStyle name="Вычисление 2 2 2" xfId="355"/>
    <cellStyle name="Вычисление 2 2 2 2" xfId="1020"/>
    <cellStyle name="Вычисление 2 2 2 3" xfId="981"/>
    <cellStyle name="Вычисление 2 2 3" xfId="356"/>
    <cellStyle name="Вычисление 2 2 3 2" xfId="1019"/>
    <cellStyle name="Вычисление 2 2 3 3" xfId="982"/>
    <cellStyle name="Вычисление 2 2 4" xfId="1021"/>
    <cellStyle name="Вычисление 2 2 5" xfId="980"/>
    <cellStyle name="Вычисление 2 3" xfId="357"/>
    <cellStyle name="Вычисление 2 3 2" xfId="1018"/>
    <cellStyle name="Вычисление 2 3 3" xfId="983"/>
    <cellStyle name="Вычисление 2 4" xfId="358"/>
    <cellStyle name="Вычисление 2 4 2" xfId="1017"/>
    <cellStyle name="Вычисление 2 4 3" xfId="984"/>
    <cellStyle name="Вычисление 2 5" xfId="359"/>
    <cellStyle name="Вычисление 2 5 2" xfId="1016"/>
    <cellStyle name="Вычисление 2 5 3" xfId="985"/>
    <cellStyle name="Вычисление 2 6" xfId="360"/>
    <cellStyle name="Вычисление 2 6 2" xfId="1015"/>
    <cellStyle name="Вычисление 2 6 3" xfId="986"/>
    <cellStyle name="Вычисление 2 7" xfId="1022"/>
    <cellStyle name="Вычисление 2 8" xfId="979"/>
    <cellStyle name="Вычисление 2_Электроэнергия" xfId="361"/>
    <cellStyle name="Вычисление 3" xfId="362"/>
    <cellStyle name="Вычисление 3 2" xfId="1014"/>
    <cellStyle name="Вычисление 3 3" xfId="987"/>
    <cellStyle name="Денежный 2" xfId="363"/>
    <cellStyle name="Заголовок 1 2" xfId="364"/>
    <cellStyle name="Заголовок 1 2 2" xfId="365"/>
    <cellStyle name="Заголовок 1 2 2 2" xfId="366"/>
    <cellStyle name="Заголовок 1 2 3" xfId="367"/>
    <cellStyle name="Заголовок 1 2 4" xfId="368"/>
    <cellStyle name="Заголовок 1 2 5" xfId="369"/>
    <cellStyle name="Заголовок 1 2_Электроэнергия" xfId="370"/>
    <cellStyle name="Заголовок 1 3" xfId="371"/>
    <cellStyle name="Заголовок 2 2" xfId="372"/>
    <cellStyle name="Заголовок 2 2 2" xfId="373"/>
    <cellStyle name="Заголовок 2 2 2 2" xfId="374"/>
    <cellStyle name="Заголовок 2 2 3" xfId="375"/>
    <cellStyle name="Заголовок 2 2 4" xfId="376"/>
    <cellStyle name="Заголовок 2 2 5" xfId="377"/>
    <cellStyle name="Заголовок 2 2_Электроэнергия" xfId="378"/>
    <cellStyle name="Заголовок 2 3" xfId="379"/>
    <cellStyle name="Заголовок 3 2" xfId="380"/>
    <cellStyle name="Заголовок 3 2 2" xfId="381"/>
    <cellStyle name="Заголовок 3 2 2 2" xfId="382"/>
    <cellStyle name="Заголовок 3 2 3" xfId="383"/>
    <cellStyle name="Заголовок 3 2 4" xfId="384"/>
    <cellStyle name="Заголовок 3 2 5" xfId="385"/>
    <cellStyle name="Заголовок 3 2_Электроэнергия" xfId="386"/>
    <cellStyle name="Заголовок 3 3" xfId="387"/>
    <cellStyle name="Заголовок 4 2" xfId="388"/>
    <cellStyle name="Заголовок 4 2 2" xfId="389"/>
    <cellStyle name="Заголовок 4 2 2 2" xfId="390"/>
    <cellStyle name="Заголовок 4 2 3" xfId="391"/>
    <cellStyle name="Заголовок 4 2 4" xfId="392"/>
    <cellStyle name="Заголовок 4 2 5" xfId="393"/>
    <cellStyle name="Заголовок 4 2_Электроэнергия" xfId="394"/>
    <cellStyle name="Заголовок 4 3" xfId="395"/>
    <cellStyle name="Итог 2" xfId="396"/>
    <cellStyle name="Итог 2 2" xfId="397"/>
    <cellStyle name="Итог 2 2 2" xfId="398"/>
    <cellStyle name="Итог 2 2 2 2" xfId="399"/>
    <cellStyle name="Итог 2 2 2 2 2" xfId="1010"/>
    <cellStyle name="Итог 2 2 2 2 3" xfId="991"/>
    <cellStyle name="Итог 2 2 2 3" xfId="1011"/>
    <cellStyle name="Итог 2 2 2 4" xfId="990"/>
    <cellStyle name="Итог 2 2 3" xfId="400"/>
    <cellStyle name="Итог 2 2 3 2" xfId="1009"/>
    <cellStyle name="Итог 2 2 3 3" xfId="992"/>
    <cellStyle name="Итог 2 2 4" xfId="401"/>
    <cellStyle name="Итог 2 2 4 2" xfId="1008"/>
    <cellStyle name="Итог 2 2 4 3" xfId="993"/>
    <cellStyle name="Итог 2 2 5" xfId="1012"/>
    <cellStyle name="Итог 2 2 6" xfId="989"/>
    <cellStyle name="Итог 2 2_Электроэнергия" xfId="402"/>
    <cellStyle name="Итог 2 3" xfId="403"/>
    <cellStyle name="Итог 2 3 2" xfId="404"/>
    <cellStyle name="Итог 2 3 2 2" xfId="1006"/>
    <cellStyle name="Итог 2 3 2 3" xfId="995"/>
    <cellStyle name="Итог 2 3 3" xfId="405"/>
    <cellStyle name="Итог 2 3 3 2" xfId="1005"/>
    <cellStyle name="Итог 2 3 3 3" xfId="996"/>
    <cellStyle name="Итог 2 3 4" xfId="1007"/>
    <cellStyle name="Итог 2 3 5" xfId="994"/>
    <cellStyle name="Итог 2 4" xfId="406"/>
    <cellStyle name="Итог 2 4 2" xfId="1004"/>
    <cellStyle name="Итог 2 4 3" xfId="997"/>
    <cellStyle name="Итог 2 5" xfId="407"/>
    <cellStyle name="Итог 2 5 2" xfId="1003"/>
    <cellStyle name="Итог 2 5 3" xfId="998"/>
    <cellStyle name="Итог 2 6" xfId="408"/>
    <cellStyle name="Итог 2 6 2" xfId="1002"/>
    <cellStyle name="Итог 2 6 3" xfId="999"/>
    <cellStyle name="Итог 2 7" xfId="1013"/>
    <cellStyle name="Итог 2 8" xfId="988"/>
    <cellStyle name="Итог 2_Электроэнергия" xfId="409"/>
    <cellStyle name="Итог 3" xfId="410"/>
    <cellStyle name="Итог 3 2" xfId="1001"/>
    <cellStyle name="Итог 3 3" xfId="1000"/>
    <cellStyle name="КАНДАГАЧ тел3-33-96" xfId="411"/>
    <cellStyle name="Контрольная ячейка 2" xfId="412"/>
    <cellStyle name="Контрольная ячейка 2 2" xfId="413"/>
    <cellStyle name="Контрольная ячейка 2 2 2" xfId="414"/>
    <cellStyle name="Контрольная ячейка 2 3" xfId="415"/>
    <cellStyle name="Контрольная ячейка 2 4" xfId="416"/>
    <cellStyle name="Контрольная ячейка 2 5" xfId="417"/>
    <cellStyle name="Контрольная ячейка 2_Электроэнергия" xfId="418"/>
    <cellStyle name="Контрольная ячейка 3" xfId="419"/>
    <cellStyle name="Название 2" xfId="420"/>
    <cellStyle name="Название 2 2" xfId="421"/>
    <cellStyle name="Название 2 2 2" xfId="422"/>
    <cellStyle name="Название 2 3" xfId="423"/>
    <cellStyle name="Название 2 4" xfId="424"/>
    <cellStyle name="Название 2 5" xfId="425"/>
    <cellStyle name="Название 2_Электроэнергия" xfId="426"/>
    <cellStyle name="Название 3" xfId="427"/>
    <cellStyle name="Нейтральный 2" xfId="428"/>
    <cellStyle name="Нейтральный 2 2" xfId="429"/>
    <cellStyle name="Нейтральный 2 2 2" xfId="430"/>
    <cellStyle name="Нейтральный 2 3" xfId="431"/>
    <cellStyle name="Нейтральный 2 4" xfId="432"/>
    <cellStyle name="Нейтральный 2 5" xfId="433"/>
    <cellStyle name="Нейтральный 2_Электроэнергия" xfId="434"/>
    <cellStyle name="Нейтральный 3" xfId="435"/>
    <cellStyle name="Обычный" xfId="0" builtinId="0"/>
    <cellStyle name="Обычный 10" xfId="436"/>
    <cellStyle name="Обычный 10 2" xfId="437"/>
    <cellStyle name="Обычный 10 2 2" xfId="438"/>
    <cellStyle name="Обычный 10 3" xfId="439"/>
    <cellStyle name="Обычный 10 3 2" xfId="440"/>
    <cellStyle name="Обычный 10 3 3" xfId="441"/>
    <cellStyle name="Обычный 10 4" xfId="442"/>
    <cellStyle name="Обычный 10 5" xfId="443"/>
    <cellStyle name="Обычный 10 6" xfId="444"/>
    <cellStyle name="Обычный 10_Август по объектно" xfId="445"/>
    <cellStyle name="Обычный 11" xfId="446"/>
    <cellStyle name="Обычный 11 2" xfId="447"/>
    <cellStyle name="Обычный 11 2 2" xfId="448"/>
    <cellStyle name="Обычный 11 3" xfId="449"/>
    <cellStyle name="Обычный 11 3 2" xfId="450"/>
    <cellStyle name="Обычный 11 4" xfId="451"/>
    <cellStyle name="Обычный 11 4 2" xfId="452"/>
    <cellStyle name="Обычный 11 4 2 2" xfId="453"/>
    <cellStyle name="Обычный 11 4 3" xfId="454"/>
    <cellStyle name="Обычный 11 5" xfId="455"/>
    <cellStyle name="Обычный 11 6" xfId="456"/>
    <cellStyle name="Обычный 11 7" xfId="457"/>
    <cellStyle name="Обычный 11_Август по объектно" xfId="458"/>
    <cellStyle name="Обычный 12" xfId="459"/>
    <cellStyle name="Обычный 12 2" xfId="460"/>
    <cellStyle name="Обычный 12 2 2" xfId="461"/>
    <cellStyle name="Обычный 12 3" xfId="462"/>
    <cellStyle name="Обычный 12 3 2" xfId="463"/>
    <cellStyle name="Обычный 12 4" xfId="464"/>
    <cellStyle name="Обычный 12 4 2" xfId="465"/>
    <cellStyle name="Обычный 12 4 2 2" xfId="466"/>
    <cellStyle name="Обычный 12 4 3" xfId="467"/>
    <cellStyle name="Обычный 12 5" xfId="468"/>
    <cellStyle name="Обычный 12 6" xfId="469"/>
    <cellStyle name="Обычный 12 7" xfId="470"/>
    <cellStyle name="Обычный 12_Август по объектно" xfId="471"/>
    <cellStyle name="Обычный 13" xfId="472"/>
    <cellStyle name="Обычный 13 2" xfId="473"/>
    <cellStyle name="Обычный 13 2 2" xfId="474"/>
    <cellStyle name="Обычный 13 3" xfId="475"/>
    <cellStyle name="Обычный 13_Гидроузел на р.Тышкан" xfId="476"/>
    <cellStyle name="Обычный 14" xfId="477"/>
    <cellStyle name="Обычный 14 2" xfId="478"/>
    <cellStyle name="Обычный 14 3" xfId="479"/>
    <cellStyle name="Обычный 14 4" xfId="480"/>
    <cellStyle name="Обычный 14_Гидроузел на р.Тышкан" xfId="481"/>
    <cellStyle name="Обычный 15" xfId="482"/>
    <cellStyle name="Обычный 15 2" xfId="483"/>
    <cellStyle name="Обычный 15 3" xfId="484"/>
    <cellStyle name="Обычный 15 4" xfId="485"/>
    <cellStyle name="Обычный 15 5" xfId="486"/>
    <cellStyle name="Обычный 16" xfId="487"/>
    <cellStyle name="Обычный 16 2" xfId="488"/>
    <cellStyle name="Обычный 16 2 2" xfId="489"/>
    <cellStyle name="Обычный 16 3" xfId="490"/>
    <cellStyle name="Обычный 16 4" xfId="491"/>
    <cellStyle name="Обычный 16 5" xfId="492"/>
    <cellStyle name="Обычный 16_Гидроузел на р.Тышкан" xfId="493"/>
    <cellStyle name="Обычный 17" xfId="494"/>
    <cellStyle name="Обычный 17 2" xfId="495"/>
    <cellStyle name="Обычный 17 2 2" xfId="496"/>
    <cellStyle name="Обычный 17 3" xfId="497"/>
    <cellStyle name="Обычный 17 3 2" xfId="498"/>
    <cellStyle name="Обычный 17 3 2 2" xfId="499"/>
    <cellStyle name="Обычный 17 3 3" xfId="500"/>
    <cellStyle name="Обычный 17 4" xfId="501"/>
    <cellStyle name="Обычный 17 4 2" xfId="502"/>
    <cellStyle name="Обычный 17 5" xfId="503"/>
    <cellStyle name="Обычный 18" xfId="504"/>
    <cellStyle name="Обычный 18 2" xfId="505"/>
    <cellStyle name="Обычный 18 2 2" xfId="506"/>
    <cellStyle name="Обычный 18 3" xfId="507"/>
    <cellStyle name="Обычный 18 3 2" xfId="508"/>
    <cellStyle name="Обычный 18 3 3" xfId="509"/>
    <cellStyle name="Обычный 18 4" xfId="510"/>
    <cellStyle name="Обычный 18 5" xfId="511"/>
    <cellStyle name="Обычный 19" xfId="512"/>
    <cellStyle name="Обычный 19 2" xfId="513"/>
    <cellStyle name="Обычный 19 2 2" xfId="514"/>
    <cellStyle name="Обычный 19 3" xfId="515"/>
    <cellStyle name="Обычный 19 3 2" xfId="516"/>
    <cellStyle name="Обычный 19 3 3" xfId="517"/>
    <cellStyle name="Обычный 19 4" xfId="518"/>
    <cellStyle name="Обычный 19 5" xfId="519"/>
    <cellStyle name="Обычный 2" xfId="520"/>
    <cellStyle name="Обычный 2 10" xfId="521"/>
    <cellStyle name="Обычный 2 10 2" xfId="522"/>
    <cellStyle name="Обычный 2 11" xfId="523"/>
    <cellStyle name="Обычный 2 2" xfId="524"/>
    <cellStyle name="Обычный 2 2 2" xfId="525"/>
    <cellStyle name="Обычный 2 2 2 2" xfId="526"/>
    <cellStyle name="Обычный 2 2 2 2 2" xfId="527"/>
    <cellStyle name="Обычный 2 2 2 2 2 2" xfId="528"/>
    <cellStyle name="Обычный 2 2 2 2 3" xfId="529"/>
    <cellStyle name="Обычный 2 2 2 3" xfId="530"/>
    <cellStyle name="Обычный 2 2 2 4" xfId="531"/>
    <cellStyle name="Обычный 2 2 2_Гидроузел на р.Тышкан" xfId="532"/>
    <cellStyle name="Обычный 2 2 3" xfId="533"/>
    <cellStyle name="Обычный 2 2 3 2" xfId="534"/>
    <cellStyle name="Обычный 2 2 3 2 2" xfId="535"/>
    <cellStyle name="Обычный 2 2 3 3" xfId="536"/>
    <cellStyle name="Обычный 2 2 4" xfId="537"/>
    <cellStyle name="Обычный 2 2 4 2" xfId="538"/>
    <cellStyle name="Обычный 2 2 4 2 2" xfId="539"/>
    <cellStyle name="Обычный 2 2 4 3" xfId="540"/>
    <cellStyle name="Обычный 2 2 5" xfId="541"/>
    <cellStyle name="Обычный 2 2 6" xfId="542"/>
    <cellStyle name="Обычный 2 2 6 2" xfId="543"/>
    <cellStyle name="Обычный 2 2 7" xfId="544"/>
    <cellStyle name="Обычный 2 2 7 2" xfId="545"/>
    <cellStyle name="Обычный 2 2 8" xfId="546"/>
    <cellStyle name="Обычный 2 2_4 МСХ 27.07.11 переигровки" xfId="547"/>
    <cellStyle name="Обычный 2 3" xfId="548"/>
    <cellStyle name="Обычный 2 3 2" xfId="549"/>
    <cellStyle name="Обычный 2 3 3" xfId="550"/>
    <cellStyle name="Обычный 2 3 4" xfId="551"/>
    <cellStyle name="Обычный 2 3 4 2" xfId="552"/>
    <cellStyle name="Обычный 2 3 5" xfId="553"/>
    <cellStyle name="Обычный 2 3_Гидроузел на р.Тышкан" xfId="554"/>
    <cellStyle name="Обычный 2 4" xfId="555"/>
    <cellStyle name="Обычный 2 4 2" xfId="556"/>
    <cellStyle name="Обычный 2 4 2 2" xfId="557"/>
    <cellStyle name="Обычный 2 4 2 2 2" xfId="558"/>
    <cellStyle name="Обычный 2 4 2 3" xfId="559"/>
    <cellStyle name="Обычный 2 4 3" xfId="560"/>
    <cellStyle name="Обычный 2 4 4" xfId="561"/>
    <cellStyle name="Обычный 2 4 5" xfId="562"/>
    <cellStyle name="Обычный 2 4 6" xfId="563"/>
    <cellStyle name="Обычный 2 5" xfId="564"/>
    <cellStyle name="Обычный 2 5 2" xfId="565"/>
    <cellStyle name="Обычный 2 5 2 2" xfId="566"/>
    <cellStyle name="Обычный 2 5 3" xfId="567"/>
    <cellStyle name="Обычный 2 6" xfId="568"/>
    <cellStyle name="Обычный 2 6 2" xfId="569"/>
    <cellStyle name="Обычный 2 6 3" xfId="570"/>
    <cellStyle name="Обычный 2 6 3 2" xfId="571"/>
    <cellStyle name="Обычный 2 6 4" xfId="572"/>
    <cellStyle name="Обычный 2 6 5" xfId="573"/>
    <cellStyle name="Обычный 2 7" xfId="574"/>
    <cellStyle name="Обычный 2 7 2" xfId="575"/>
    <cellStyle name="Обычный 2 7 3" xfId="576"/>
    <cellStyle name="Обычный 2 8" xfId="577"/>
    <cellStyle name="Обычный 2 8 2" xfId="578"/>
    <cellStyle name="Обычный 2 8 3" xfId="579"/>
    <cellStyle name="Обычный 2 9" xfId="580"/>
    <cellStyle name="Обычный 2 9 2" xfId="581"/>
    <cellStyle name="Обычный 2_16 МСХ 13.09.11 с проблемными" xfId="582"/>
    <cellStyle name="Обычный 20" xfId="583"/>
    <cellStyle name="Обычный 20 2" xfId="584"/>
    <cellStyle name="Обычный 20 3" xfId="585"/>
    <cellStyle name="Обычный 20 3 2" xfId="586"/>
    <cellStyle name="Обычный 20 3 3" xfId="587"/>
    <cellStyle name="Обычный 20 4" xfId="588"/>
    <cellStyle name="Обычный 20 5" xfId="589"/>
    <cellStyle name="Обычный 21" xfId="590"/>
    <cellStyle name="Обычный 21 2" xfId="591"/>
    <cellStyle name="Обычный 21 2 2" xfId="592"/>
    <cellStyle name="Обычный 21 3" xfId="593"/>
    <cellStyle name="Обычный 21 3 2" xfId="594"/>
    <cellStyle name="Обычный 21 3 3" xfId="595"/>
    <cellStyle name="Обычный 21 4" xfId="596"/>
    <cellStyle name="Обычный 22" xfId="597"/>
    <cellStyle name="Обычный 22 2" xfId="598"/>
    <cellStyle name="Обычный 22 3" xfId="599"/>
    <cellStyle name="Обычный 22 3 2" xfId="600"/>
    <cellStyle name="Обычный 22 3 2 2" xfId="601"/>
    <cellStyle name="Обычный 22 3 3" xfId="602"/>
    <cellStyle name="Обычный 22 4" xfId="603"/>
    <cellStyle name="Обычный 23" xfId="604"/>
    <cellStyle name="Обычный 23 2" xfId="605"/>
    <cellStyle name="Обычный 23 2 2" xfId="606"/>
    <cellStyle name="Обычный 23 2 2 2" xfId="607"/>
    <cellStyle name="Обычный 23 2 2 3" xfId="608"/>
    <cellStyle name="Обычный 23 2 2 3 2" xfId="609"/>
    <cellStyle name="Обычный 23 2_План финансирования на 2013 год" xfId="610"/>
    <cellStyle name="Обычный 23 3" xfId="611"/>
    <cellStyle name="Обычный 23 4" xfId="612"/>
    <cellStyle name="Обычный 23 4 2" xfId="613"/>
    <cellStyle name="Обычный 23 4 2 2" xfId="614"/>
    <cellStyle name="Обычный 23 4 3" xfId="615"/>
    <cellStyle name="Обычный 23 5" xfId="616"/>
    <cellStyle name="Обычный 23 6" xfId="617"/>
    <cellStyle name="Обычный 23 7" xfId="618"/>
    <cellStyle name="Обычный 23 8" xfId="619"/>
    <cellStyle name="Обычный 23_админ.расходы" xfId="620"/>
    <cellStyle name="Обычный 24" xfId="621"/>
    <cellStyle name="Обычный 24 2" xfId="622"/>
    <cellStyle name="Обычный 24 2 2" xfId="623"/>
    <cellStyle name="Обычный 24 3" xfId="624"/>
    <cellStyle name="Обычный 24 3 2" xfId="625"/>
    <cellStyle name="Обычный 24 4" xfId="626"/>
    <cellStyle name="Обычный 24 5" xfId="627"/>
    <cellStyle name="Обычный 24_админ.расходы" xfId="628"/>
    <cellStyle name="Обычный 25" xfId="629"/>
    <cellStyle name="Обычный 25 2" xfId="630"/>
    <cellStyle name="Обычный 25 2 2" xfId="631"/>
    <cellStyle name="Обычный 25 3" xfId="632"/>
    <cellStyle name="Обычный 25 3 2" xfId="633"/>
    <cellStyle name="Обычный 25 3 3" xfId="634"/>
    <cellStyle name="Обычный 26" xfId="635"/>
    <cellStyle name="Обычный 26 2" xfId="636"/>
    <cellStyle name="Обычный 26 2 2" xfId="637"/>
    <cellStyle name="Обычный 26 2 3" xfId="638"/>
    <cellStyle name="Обычный 26 3" xfId="639"/>
    <cellStyle name="Обычный 26 4" xfId="640"/>
    <cellStyle name="Обычный 27" xfId="641"/>
    <cellStyle name="Обычный 27 2" xfId="642"/>
    <cellStyle name="Обычный 27 2 2" xfId="643"/>
    <cellStyle name="Обычный 27 3" xfId="644"/>
    <cellStyle name="Обычный 28" xfId="645"/>
    <cellStyle name="Обычный 29" xfId="646"/>
    <cellStyle name="Обычный 29 2" xfId="647"/>
    <cellStyle name="Обычный 29 2 2" xfId="648"/>
    <cellStyle name="Обычный 29 3" xfId="649"/>
    <cellStyle name="Обычный 29 4" xfId="650"/>
    <cellStyle name="Обычный 3" xfId="651"/>
    <cellStyle name="Обычный 3 10" xfId="652"/>
    <cellStyle name="Обычный 3 11" xfId="653"/>
    <cellStyle name="Обычный 3 12" xfId="654"/>
    <cellStyle name="Обычный 3 13" xfId="655"/>
    <cellStyle name="Обычный 3 2" xfId="656"/>
    <cellStyle name="Обычный 3 2 2" xfId="657"/>
    <cellStyle name="Обычный 3 2 2 2" xfId="658"/>
    <cellStyle name="Обычный 3 2 2 2 2" xfId="659"/>
    <cellStyle name="Обычный 3 2 2 3" xfId="660"/>
    <cellStyle name="Обычный 3 2 3" xfId="661"/>
    <cellStyle name="Обычный 3 2 3 2" xfId="662"/>
    <cellStyle name="Обычный 3 2 4" xfId="663"/>
    <cellStyle name="Обычный 3 2 5" xfId="664"/>
    <cellStyle name="Обычный 3 2 5 2" xfId="665"/>
    <cellStyle name="Обычный 3 2 6" xfId="666"/>
    <cellStyle name="Обычный 3 2_Каратальская плотина" xfId="667"/>
    <cellStyle name="Обычный 3 3" xfId="668"/>
    <cellStyle name="Обычный 3 3 2" xfId="669"/>
    <cellStyle name="Обычный 3 3 3" xfId="670"/>
    <cellStyle name="Обычный 3 4" xfId="671"/>
    <cellStyle name="Обычный 3 4 2" xfId="672"/>
    <cellStyle name="Обычный 3 5" xfId="673"/>
    <cellStyle name="Обычный 3 6" xfId="674"/>
    <cellStyle name="Обычный 3 7" xfId="675"/>
    <cellStyle name="Обычный 3 8" xfId="676"/>
    <cellStyle name="Обычный 3 9" xfId="677"/>
    <cellStyle name="Обычный 3 9 2" xfId="678"/>
    <cellStyle name="Обычный 3 9 3" xfId="679"/>
    <cellStyle name="Обычный 3_Гидроузел на р.Тышкан" xfId="680"/>
    <cellStyle name="Обычный 30" xfId="681"/>
    <cellStyle name="Обычный 31" xfId="682"/>
    <cellStyle name="Обычный 32" xfId="683"/>
    <cellStyle name="Обычный 32 2" xfId="684"/>
    <cellStyle name="Обычный 33" xfId="685"/>
    <cellStyle name="Обычный 33 2" xfId="686"/>
    <cellStyle name="Обычный 33 3" xfId="687"/>
    <cellStyle name="Обычный 34" xfId="688"/>
    <cellStyle name="Обычный 34 2" xfId="689"/>
    <cellStyle name="Обычный 34 3" xfId="690"/>
    <cellStyle name="Обычный 34_План финансирования на 2013 год" xfId="691"/>
    <cellStyle name="Обычный 35" xfId="692"/>
    <cellStyle name="Обычный 35 2" xfId="693"/>
    <cellStyle name="Обычный 35 3" xfId="694"/>
    <cellStyle name="Обычный 36" xfId="695"/>
    <cellStyle name="Обычный 37" xfId="696"/>
    <cellStyle name="Обычный 38" xfId="697"/>
    <cellStyle name="Обычный 39" xfId="698"/>
    <cellStyle name="Обычный 4" xfId="699"/>
    <cellStyle name="Обычный 4 2" xfId="700"/>
    <cellStyle name="Обычный 4 3" xfId="701"/>
    <cellStyle name="Обычный 4 3 2" xfId="702"/>
    <cellStyle name="Обычный 4 3 2 2" xfId="703"/>
    <cellStyle name="Обычный 4 3 3" xfId="704"/>
    <cellStyle name="Обычный 4 4" xfId="705"/>
    <cellStyle name="Обычный 4 4 2" xfId="706"/>
    <cellStyle name="Обычный 4 5" xfId="707"/>
    <cellStyle name="Обычный 4 5 2" xfId="708"/>
    <cellStyle name="Обычный 4 6" xfId="709"/>
    <cellStyle name="Обычный 4_админ.расходы" xfId="710"/>
    <cellStyle name="Обычный 40" xfId="711"/>
    <cellStyle name="Обычный 41" xfId="712"/>
    <cellStyle name="Обычный 42" xfId="713"/>
    <cellStyle name="Обычный 43" xfId="714"/>
    <cellStyle name="Обычный 44" xfId="715"/>
    <cellStyle name="Обычный 45" xfId="716"/>
    <cellStyle name="Обычный 46" xfId="717"/>
    <cellStyle name="Обычный 47" xfId="718"/>
    <cellStyle name="Обычный 47 2" xfId="719"/>
    <cellStyle name="Обычный 47 3" xfId="720"/>
    <cellStyle name="Обычный 47 4" xfId="721"/>
    <cellStyle name="Обычный 48" xfId="722"/>
    <cellStyle name="Обычный 49" xfId="723"/>
    <cellStyle name="Обычный 49 2" xfId="724"/>
    <cellStyle name="Обычный 5" xfId="725"/>
    <cellStyle name="Обычный 5 2" xfId="726"/>
    <cellStyle name="Обычный 5 2 2" xfId="727"/>
    <cellStyle name="Обычный 5 2 2 2" xfId="728"/>
    <cellStyle name="Обычный 5 2 3" xfId="729"/>
    <cellStyle name="Обычный 5 3" xfId="730"/>
    <cellStyle name="Обычный 5 4" xfId="731"/>
    <cellStyle name="Обычный 5 5" xfId="732"/>
    <cellStyle name="Обычный 5_Гидроузел на р.Тышкан" xfId="733"/>
    <cellStyle name="Обычный 50" xfId="734"/>
    <cellStyle name="Обычный 50 2" xfId="735"/>
    <cellStyle name="Обычный 51" xfId="736"/>
    <cellStyle name="Обычный 52" xfId="737"/>
    <cellStyle name="Обычный 53" xfId="738"/>
    <cellStyle name="Обычный 54" xfId="739"/>
    <cellStyle name="Обычный 55" xfId="740"/>
    <cellStyle name="Обычный 56" xfId="741"/>
    <cellStyle name="Обычный 57" xfId="742"/>
    <cellStyle name="Обычный 57 2" xfId="743"/>
    <cellStyle name="Обычный 57 2 2" xfId="744"/>
    <cellStyle name="Обычный 57 2 3" xfId="745"/>
    <cellStyle name="Обычный 57 2 4" xfId="746"/>
    <cellStyle name="Обычный 57 2 5" xfId="747"/>
    <cellStyle name="Обычный 58" xfId="748"/>
    <cellStyle name="Обычный 58 2" xfId="749"/>
    <cellStyle name="Обычный 59" xfId="750"/>
    <cellStyle name="Обычный 59 2" xfId="751"/>
    <cellStyle name="Обычный 6" xfId="752"/>
    <cellStyle name="Обычный 6 2" xfId="753"/>
    <cellStyle name="Обычный 6 2 2" xfId="754"/>
    <cellStyle name="Обычный 6 2 2 2" xfId="755"/>
    <cellStyle name="Обычный 6 2 3" xfId="756"/>
    <cellStyle name="Обычный 6 3" xfId="757"/>
    <cellStyle name="Обычный 6 4" xfId="758"/>
    <cellStyle name="Обычный 6 5" xfId="759"/>
    <cellStyle name="Обычный 6_Гидроузел на р.Тышкан" xfId="760"/>
    <cellStyle name="Обычный 60" xfId="761"/>
    <cellStyle name="Обычный 61" xfId="762"/>
    <cellStyle name="Обычный 61 2" xfId="763"/>
    <cellStyle name="Обычный 62" xfId="764"/>
    <cellStyle name="Обычный 63" xfId="765"/>
    <cellStyle name="Обычный 64" xfId="766"/>
    <cellStyle name="Обычный 65" xfId="767"/>
    <cellStyle name="Обычный 66" xfId="768"/>
    <cellStyle name="Обычный 67" xfId="769"/>
    <cellStyle name="Обычный 68" xfId="770"/>
    <cellStyle name="Обычный 69" xfId="771"/>
    <cellStyle name="Обычный 69 2" xfId="772"/>
    <cellStyle name="Обычный 7" xfId="773"/>
    <cellStyle name="Обычный 7 2" xfId="774"/>
    <cellStyle name="Обычный 7 2 2" xfId="775"/>
    <cellStyle name="Обычный 7 2 2 2" xfId="776"/>
    <cellStyle name="Обычный 7 2 3" xfId="777"/>
    <cellStyle name="Обычный 7 3" xfId="778"/>
    <cellStyle name="Обычный 7 4" xfId="779"/>
    <cellStyle name="Обычный 7 5" xfId="780"/>
    <cellStyle name="Обычный 7 6" xfId="781"/>
    <cellStyle name="Обычный 7 7" xfId="782"/>
    <cellStyle name="Обычный 7_Гидроузел на р.Тышкан" xfId="783"/>
    <cellStyle name="Обычный 70" xfId="784"/>
    <cellStyle name="Обычный 70 2" xfId="785"/>
    <cellStyle name="Обычный 70 2 2" xfId="786"/>
    <cellStyle name="Обычный 71" xfId="787"/>
    <cellStyle name="Обычный 72" xfId="788"/>
    <cellStyle name="Обычный 8" xfId="789"/>
    <cellStyle name="Обычный 8 2" xfId="790"/>
    <cellStyle name="Обычный 8 2 2" xfId="791"/>
    <cellStyle name="Обычный 8 2 2 2" xfId="792"/>
    <cellStyle name="Обычный 8 2 3" xfId="793"/>
    <cellStyle name="Обычный 8 3" xfId="794"/>
    <cellStyle name="Обычный 8 4" xfId="795"/>
    <cellStyle name="Обычный 8 5" xfId="796"/>
    <cellStyle name="Обычный 8_Гидроузел на р.Тышкан" xfId="797"/>
    <cellStyle name="Обычный 9" xfId="798"/>
    <cellStyle name="Обычный 9 2" xfId="799"/>
    <cellStyle name="Обычный 9 2 2" xfId="800"/>
    <cellStyle name="Обычный 9 2 2 2" xfId="801"/>
    <cellStyle name="Обычный 9 2 3" xfId="802"/>
    <cellStyle name="Обычный 9 3" xfId="803"/>
    <cellStyle name="Обычный 9 4" xfId="804"/>
    <cellStyle name="Обычный 9 8" xfId="805"/>
    <cellStyle name="Обычный 9 9" xfId="806"/>
    <cellStyle name="Обычный 9_Каратальская плотина" xfId="807"/>
    <cellStyle name="Обычный_Лист1" xfId="1"/>
    <cellStyle name="Отличный" xfId="808"/>
    <cellStyle name="Отличный 2" xfId="809"/>
    <cellStyle name="Отличный 2 2" xfId="810"/>
    <cellStyle name="Отличный 2 2 2" xfId="811"/>
    <cellStyle name="Отличный 2 2 3" xfId="812"/>
    <cellStyle name="Отличный 2 3" xfId="813"/>
    <cellStyle name="Отличный 2 4" xfId="814"/>
    <cellStyle name="Отличный 3" xfId="815"/>
    <cellStyle name="Отличный 3 2" xfId="816"/>
    <cellStyle name="Отличный 3 3" xfId="817"/>
    <cellStyle name="Отличный 4" xfId="818"/>
    <cellStyle name="Отличный 5" xfId="819"/>
    <cellStyle name="Плохой 2" xfId="820"/>
    <cellStyle name="Плохой 2 2" xfId="821"/>
    <cellStyle name="Плохой 2 2 2" xfId="822"/>
    <cellStyle name="Плохой 2 3" xfId="823"/>
    <cellStyle name="Плохой 2 4" xfId="824"/>
    <cellStyle name="Плохой 2 5" xfId="825"/>
    <cellStyle name="Плохой 2_Электроэнергия" xfId="826"/>
    <cellStyle name="Плохой 3" xfId="827"/>
    <cellStyle name="Пояснение 2" xfId="828"/>
    <cellStyle name="Пояснение 2 2" xfId="829"/>
    <cellStyle name="Пояснение 2 2 2" xfId="830"/>
    <cellStyle name="Пояснение 2 3" xfId="831"/>
    <cellStyle name="Пояснение 2 4" xfId="832"/>
    <cellStyle name="Пояснение 2 5" xfId="833"/>
    <cellStyle name="Пояснение 2_Электроэнергия" xfId="834"/>
    <cellStyle name="Пояснение 3" xfId="835"/>
    <cellStyle name="Примечание 2" xfId="836"/>
    <cellStyle name="Примечание 2 2" xfId="837"/>
    <cellStyle name="Примечание 2 2 2" xfId="838"/>
    <cellStyle name="Примечание 2 2 2 2" xfId="956"/>
    <cellStyle name="Примечание 2 2 2 3" xfId="1045"/>
    <cellStyle name="Примечание 2 2 3" xfId="839"/>
    <cellStyle name="Примечание 2 2 3 2" xfId="955"/>
    <cellStyle name="Примечание 2 2 3 3" xfId="1046"/>
    <cellStyle name="Примечание 2 2 4" xfId="957"/>
    <cellStyle name="Примечание 2 2 5" xfId="1044"/>
    <cellStyle name="Примечание 2 3" xfId="840"/>
    <cellStyle name="Примечание 2 3 2" xfId="954"/>
    <cellStyle name="Примечание 2 3 3" xfId="1047"/>
    <cellStyle name="Примечание 2 4" xfId="841"/>
    <cellStyle name="Примечание 2 4 2" xfId="953"/>
    <cellStyle name="Примечание 2 4 3" xfId="1048"/>
    <cellStyle name="Примечание 2 5" xfId="842"/>
    <cellStyle name="Примечание 2 5 2" xfId="952"/>
    <cellStyle name="Примечание 2 5 3" xfId="1049"/>
    <cellStyle name="Примечание 2 6" xfId="843"/>
    <cellStyle name="Примечание 2 6 2" xfId="951"/>
    <cellStyle name="Примечание 2 6 3" xfId="1050"/>
    <cellStyle name="Примечание 2 7" xfId="958"/>
    <cellStyle name="Примечание 2 8" xfId="1043"/>
    <cellStyle name="Примечание 3" xfId="844"/>
    <cellStyle name="Примечание 3 2" xfId="845"/>
    <cellStyle name="Примечание 3 2 2" xfId="846"/>
    <cellStyle name="Примечание 3 2 2 2" xfId="847"/>
    <cellStyle name="Примечание 3 2 2 2 2" xfId="947"/>
    <cellStyle name="Примечание 3 2 2 2 3" xfId="1054"/>
    <cellStyle name="Примечание 3 2 2 3" xfId="948"/>
    <cellStyle name="Примечание 3 2 2 4" xfId="1053"/>
    <cellStyle name="Примечание 3 2 3" xfId="848"/>
    <cellStyle name="Примечание 3 2 3 2" xfId="946"/>
    <cellStyle name="Примечание 3 2 3 3" xfId="1055"/>
    <cellStyle name="Примечание 3 2 4" xfId="949"/>
    <cellStyle name="Примечание 3 2 5" xfId="1052"/>
    <cellStyle name="Примечание 3 3" xfId="849"/>
    <cellStyle name="Примечание 3 3 2" xfId="850"/>
    <cellStyle name="Примечание 3 3 2 2" xfId="944"/>
    <cellStyle name="Примечание 3 3 2 3" xfId="1057"/>
    <cellStyle name="Примечание 3 3 3" xfId="945"/>
    <cellStyle name="Примечание 3 3 4" xfId="1056"/>
    <cellStyle name="Примечание 3 4" xfId="851"/>
    <cellStyle name="Примечание 3 4 2" xfId="943"/>
    <cellStyle name="Примечание 3 4 3" xfId="1058"/>
    <cellStyle name="Примечание 3 5" xfId="950"/>
    <cellStyle name="Примечание 3 6" xfId="1051"/>
    <cellStyle name="Примечание 4" xfId="852"/>
    <cellStyle name="Примечание 4 2" xfId="853"/>
    <cellStyle name="Примечание 4 2 2" xfId="941"/>
    <cellStyle name="Примечание 4 2 3" xfId="1060"/>
    <cellStyle name="Примечание 4 3" xfId="854"/>
    <cellStyle name="Примечание 4 3 2" xfId="940"/>
    <cellStyle name="Примечание 4 3 3" xfId="1061"/>
    <cellStyle name="Примечание 4 4" xfId="942"/>
    <cellStyle name="Примечание 4 5" xfId="1059"/>
    <cellStyle name="Примечание 5" xfId="855"/>
    <cellStyle name="Примечание 5 2" xfId="939"/>
    <cellStyle name="Примечание 5 3" xfId="1062"/>
    <cellStyle name="Примечание 6" xfId="856"/>
    <cellStyle name="Примечание 6 2" xfId="938"/>
    <cellStyle name="Примечание 6 3" xfId="1063"/>
    <cellStyle name="Процентный 2" xfId="857"/>
    <cellStyle name="Процентный 2 2" xfId="858"/>
    <cellStyle name="Процентный 2 2 2" xfId="859"/>
    <cellStyle name="Процентный 2 2 3" xfId="860"/>
    <cellStyle name="Процентный 2 3" xfId="861"/>
    <cellStyle name="Процентный 2 3 2" xfId="862"/>
    <cellStyle name="Процентный 2 4" xfId="863"/>
    <cellStyle name="Процентный 2 5" xfId="864"/>
    <cellStyle name="Процентный 3" xfId="865"/>
    <cellStyle name="Процентный 3 2" xfId="866"/>
    <cellStyle name="Процентный 3 2 2" xfId="867"/>
    <cellStyle name="Процентный 3 2 2 2" xfId="868"/>
    <cellStyle name="Процентный 3 2 3" xfId="869"/>
    <cellStyle name="Процентный 3 2 4" xfId="870"/>
    <cellStyle name="Процентный 3 3" xfId="871"/>
    <cellStyle name="Процентный 3 3 2" xfId="872"/>
    <cellStyle name="Процентный 3 4" xfId="873"/>
    <cellStyle name="Процентный 3 4 2" xfId="874"/>
    <cellStyle name="Процентный 3 5" xfId="875"/>
    <cellStyle name="Процентный 3 5 2" xfId="876"/>
    <cellStyle name="Процентный 3 5 2 2" xfId="877"/>
    <cellStyle name="Процентный 3 5 3" xfId="878"/>
    <cellStyle name="Процентный 4" xfId="879"/>
    <cellStyle name="Процентный 4 2" xfId="880"/>
    <cellStyle name="Процентный 4 3" xfId="881"/>
    <cellStyle name="Процентный 5" xfId="882"/>
    <cellStyle name="Процентный 5 2" xfId="883"/>
    <cellStyle name="Процентный 5 2 2" xfId="884"/>
    <cellStyle name="Процентный 5 2 2 2" xfId="885"/>
    <cellStyle name="Процентный 6" xfId="886"/>
    <cellStyle name="Связанная ячейка 2" xfId="887"/>
    <cellStyle name="Связанная ячейка 2 2" xfId="888"/>
    <cellStyle name="Связанная ячейка 2 2 2" xfId="889"/>
    <cellStyle name="Связанная ячейка 2 3" xfId="890"/>
    <cellStyle name="Связанная ячейка 2 4" xfId="891"/>
    <cellStyle name="Связанная ячейка 2 5" xfId="892"/>
    <cellStyle name="Связанная ячейка 2_Электроэнергия" xfId="893"/>
    <cellStyle name="Связанная ячейка 3" xfId="894"/>
    <cellStyle name="Стиль 1" xfId="895"/>
    <cellStyle name="Стиль 1 2" xfId="896"/>
    <cellStyle name="Стиль 1 2 2" xfId="897"/>
    <cellStyle name="Стиль 1 2 3" xfId="898"/>
    <cellStyle name="Стиль 1 3" xfId="899"/>
    <cellStyle name="Стиль 1 3 2" xfId="900"/>
    <cellStyle name="Стиль 1 3 2 2" xfId="901"/>
    <cellStyle name="Стиль 1 3 3" xfId="902"/>
    <cellStyle name="Стиль 1 4" xfId="903"/>
    <cellStyle name="Стиль 1 5" xfId="904"/>
    <cellStyle name="Стиль 1 6" xfId="905"/>
    <cellStyle name="Стиль 1_16 МСХ 13.09.11 с проблемными" xfId="906"/>
    <cellStyle name="Супер" xfId="907"/>
    <cellStyle name="Текст предупреждения 2" xfId="908"/>
    <cellStyle name="Текст предупреждения 2 2" xfId="909"/>
    <cellStyle name="Текст предупреждения 2 2 2" xfId="910"/>
    <cellStyle name="Текст предупреждения 2 3" xfId="911"/>
    <cellStyle name="Текст предупреждения 2 4" xfId="912"/>
    <cellStyle name="Текст предупреждения 2 5" xfId="913"/>
    <cellStyle name="Текст предупреждения 2_Электроэнергия" xfId="914"/>
    <cellStyle name="Текст предупреждения 3" xfId="915"/>
    <cellStyle name="Финансовый 2" xfId="2"/>
    <cellStyle name="Финансовый 2 2" xfId="916"/>
    <cellStyle name="Финансовый 2 2 2" xfId="917"/>
    <cellStyle name="Финансовый 2 3" xfId="918"/>
    <cellStyle name="Финансовый 2 3 2" xfId="919"/>
    <cellStyle name="Финансовый 2 3 2 2" xfId="920"/>
    <cellStyle name="Финансовый 2 3 3" xfId="921"/>
    <cellStyle name="Финансовый 2 3 4" xfId="922"/>
    <cellStyle name="Финансовый 2 4" xfId="923"/>
    <cellStyle name="Финансовый 2 5" xfId="924"/>
    <cellStyle name="Финансовый 3" xfId="925"/>
    <cellStyle name="Финансовый 3 2" xfId="926"/>
    <cellStyle name="Финансовый 4" xfId="927"/>
    <cellStyle name="Хороший 2" xfId="928"/>
    <cellStyle name="Хороший 2 2" xfId="929"/>
    <cellStyle name="Хороший 2 2 2" xfId="930"/>
    <cellStyle name="Хороший 2 3" xfId="931"/>
    <cellStyle name="Хороший 2 4" xfId="932"/>
    <cellStyle name="Хороший 2 5" xfId="933"/>
    <cellStyle name="Хороший 2_Электроэнергия" xfId="934"/>
    <cellStyle name="Хороший 3" xfId="935"/>
    <cellStyle name="Хороший 3 2" xfId="936"/>
    <cellStyle name="Хороший 4" xfId="9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2:AQ99"/>
  <sheetViews>
    <sheetView tabSelected="1" topLeftCell="A4" zoomScaleNormal="100" workbookViewId="0">
      <selection activeCell="AG13" sqref="AG13"/>
    </sheetView>
  </sheetViews>
  <sheetFormatPr defaultRowHeight="15"/>
  <cols>
    <col min="1" max="1" width="4.7109375" style="114" customWidth="1"/>
    <col min="2" max="2" width="27.28515625" style="114" customWidth="1"/>
    <col min="3" max="3" width="8.140625" style="114" customWidth="1"/>
    <col min="4" max="4" width="9.140625" style="114" hidden="1" customWidth="1"/>
    <col min="5" max="5" width="8.42578125" style="114" hidden="1" customWidth="1"/>
    <col min="6" max="6" width="7.5703125" style="114" hidden="1" customWidth="1"/>
    <col min="7" max="7" width="8.5703125" style="114" hidden="1" customWidth="1"/>
    <col min="8" max="8" width="9.42578125" style="114" hidden="1" customWidth="1"/>
    <col min="9" max="9" width="9.140625" style="114" hidden="1" customWidth="1"/>
    <col min="10" max="10" width="6.42578125" style="114" hidden="1" customWidth="1"/>
    <col min="11" max="11" width="8.5703125" style="114" hidden="1" customWidth="1"/>
    <col min="12" max="12" width="8" style="114" hidden="1" customWidth="1"/>
    <col min="13" max="13" width="7.7109375" style="114" hidden="1" customWidth="1"/>
    <col min="14" max="14" width="6.28515625" style="114" hidden="1" customWidth="1"/>
    <col min="15" max="15" width="7.5703125" style="114" hidden="1" customWidth="1"/>
    <col min="16" max="16" width="8.140625" style="114" hidden="1" customWidth="1"/>
    <col min="17" max="18" width="8.5703125" style="114" hidden="1" customWidth="1"/>
    <col min="19" max="19" width="9.28515625" style="114" hidden="1" customWidth="1"/>
    <col min="20" max="20" width="8" style="114" hidden="1" customWidth="1"/>
    <col min="21" max="21" width="8.7109375" style="114" hidden="1" customWidth="1"/>
    <col min="22" max="22" width="6.7109375" style="114" hidden="1" customWidth="1"/>
    <col min="23" max="23" width="9.5703125" style="114" hidden="1" customWidth="1"/>
    <col min="24" max="24" width="9.140625" style="114" hidden="1" customWidth="1"/>
    <col min="25" max="25" width="8.42578125" style="114" hidden="1" customWidth="1"/>
    <col min="26" max="26" width="6.42578125" style="114" hidden="1" customWidth="1"/>
    <col min="27" max="27" width="7.85546875" style="114" hidden="1" customWidth="1"/>
    <col min="28" max="28" width="9.7109375" style="114" hidden="1" customWidth="1"/>
    <col min="29" max="29" width="9.5703125" style="114" hidden="1" customWidth="1"/>
    <col min="30" max="30" width="7.85546875" style="114" hidden="1" customWidth="1"/>
    <col min="31" max="31" width="11" style="114" hidden="1" customWidth="1"/>
    <col min="32" max="33" width="13.85546875" style="114" customWidth="1"/>
    <col min="34" max="34" width="14.42578125" style="114" customWidth="1"/>
    <col min="35" max="35" width="13.5703125" style="114" customWidth="1"/>
    <col min="36" max="36" width="41.28515625" style="114" customWidth="1"/>
    <col min="37" max="38" width="9.140625" style="114"/>
    <col min="39" max="39" width="12" style="114" bestFit="1" customWidth="1"/>
    <col min="40" max="16384" width="9.140625" style="114"/>
  </cols>
  <sheetData>
    <row r="2" spans="1:36" ht="15" customHeight="1">
      <c r="B2" s="244" t="s">
        <v>256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</row>
    <row r="3" spans="1:36" ht="15" customHeight="1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</row>
    <row r="4" spans="1:36" ht="15" customHeight="1">
      <c r="A4" s="235" t="s">
        <v>0</v>
      </c>
      <c r="B4" s="237" t="s">
        <v>1</v>
      </c>
      <c r="C4" s="235" t="s">
        <v>2</v>
      </c>
      <c r="D4" s="239" t="s">
        <v>3</v>
      </c>
      <c r="E4" s="240"/>
      <c r="F4" s="240"/>
      <c r="G4" s="241"/>
      <c r="H4" s="239" t="s">
        <v>4</v>
      </c>
      <c r="I4" s="240"/>
      <c r="J4" s="240"/>
      <c r="K4" s="241"/>
      <c r="L4" s="239" t="s">
        <v>5</v>
      </c>
      <c r="M4" s="240"/>
      <c r="N4" s="240"/>
      <c r="O4" s="241"/>
      <c r="P4" s="239" t="s">
        <v>6</v>
      </c>
      <c r="Q4" s="240"/>
      <c r="R4" s="240"/>
      <c r="S4" s="241"/>
      <c r="T4" s="239" t="s">
        <v>7</v>
      </c>
      <c r="U4" s="240"/>
      <c r="V4" s="240"/>
      <c r="W4" s="241"/>
      <c r="X4" s="239" t="s">
        <v>8</v>
      </c>
      <c r="Y4" s="240"/>
      <c r="Z4" s="240"/>
      <c r="AA4" s="241"/>
      <c r="AB4" s="239" t="s">
        <v>228</v>
      </c>
      <c r="AC4" s="240"/>
      <c r="AD4" s="240"/>
      <c r="AE4" s="248"/>
      <c r="AF4" s="242" t="s">
        <v>203</v>
      </c>
      <c r="AG4" s="246" t="s">
        <v>261</v>
      </c>
      <c r="AH4" s="246" t="s">
        <v>204</v>
      </c>
      <c r="AI4" s="242" t="s">
        <v>205</v>
      </c>
      <c r="AJ4" s="242" t="s">
        <v>206</v>
      </c>
    </row>
    <row r="5" spans="1:36" ht="50.25" customHeight="1">
      <c r="A5" s="236"/>
      <c r="B5" s="238"/>
      <c r="C5" s="236"/>
      <c r="D5" s="14" t="s">
        <v>10</v>
      </c>
      <c r="E5" s="15" t="s">
        <v>11</v>
      </c>
      <c r="F5" s="16" t="s">
        <v>12</v>
      </c>
      <c r="G5" s="17" t="s">
        <v>9</v>
      </c>
      <c r="H5" s="14" t="s">
        <v>10</v>
      </c>
      <c r="I5" s="15" t="s">
        <v>11</v>
      </c>
      <c r="J5" s="16" t="s">
        <v>12</v>
      </c>
      <c r="K5" s="17" t="s">
        <v>9</v>
      </c>
      <c r="L5" s="18" t="s">
        <v>10</v>
      </c>
      <c r="M5" s="15" t="s">
        <v>11</v>
      </c>
      <c r="N5" s="16" t="s">
        <v>12</v>
      </c>
      <c r="O5" s="17" t="s">
        <v>9</v>
      </c>
      <c r="P5" s="19" t="s">
        <v>10</v>
      </c>
      <c r="Q5" s="15" t="s">
        <v>11</v>
      </c>
      <c r="R5" s="16" t="s">
        <v>12</v>
      </c>
      <c r="S5" s="17" t="s">
        <v>9</v>
      </c>
      <c r="T5" s="19" t="s">
        <v>10</v>
      </c>
      <c r="U5" s="15" t="s">
        <v>11</v>
      </c>
      <c r="V5" s="16" t="s">
        <v>12</v>
      </c>
      <c r="W5" s="17" t="s">
        <v>9</v>
      </c>
      <c r="X5" s="19" t="s">
        <v>10</v>
      </c>
      <c r="Y5" s="15" t="s">
        <v>11</v>
      </c>
      <c r="Z5" s="16" t="s">
        <v>12</v>
      </c>
      <c r="AA5" s="17" t="s">
        <v>9</v>
      </c>
      <c r="AB5" s="19" t="s">
        <v>10</v>
      </c>
      <c r="AC5" s="15" t="s">
        <v>11</v>
      </c>
      <c r="AD5" s="16" t="s">
        <v>12</v>
      </c>
      <c r="AE5" s="17" t="s">
        <v>9</v>
      </c>
      <c r="AF5" s="243"/>
      <c r="AG5" s="247"/>
      <c r="AH5" s="247"/>
      <c r="AI5" s="243"/>
      <c r="AJ5" s="243"/>
    </row>
    <row r="6" spans="1:36" ht="31.5">
      <c r="A6" s="193">
        <v>1</v>
      </c>
      <c r="B6" s="21" t="s">
        <v>13</v>
      </c>
      <c r="C6" s="22" t="s">
        <v>14</v>
      </c>
      <c r="D6" s="23">
        <f>SUM(D7+D11++D15+D16+D19)</f>
        <v>6148.34</v>
      </c>
      <c r="E6" s="24">
        <f>SUM(E7+E11++E15+E16+E19)</f>
        <v>8296.4609999999993</v>
      </c>
      <c r="F6" s="25"/>
      <c r="G6" s="26">
        <f>D6-E6</f>
        <v>-2148.1209999999992</v>
      </c>
      <c r="H6" s="23" t="e">
        <f>H7+H11+H15+H16+H19</f>
        <v>#REF!</v>
      </c>
      <c r="I6" s="24" t="e">
        <f>SUM(I7+I11+I19)</f>
        <v>#REF!</v>
      </c>
      <c r="J6" s="26"/>
      <c r="K6" s="26" t="e">
        <f>H6-I6</f>
        <v>#REF!</v>
      </c>
      <c r="L6" s="23" t="e">
        <f>SUM(L7+L11+L16+L19+L15)</f>
        <v>#REF!</v>
      </c>
      <c r="M6" s="24" t="e">
        <f>SUM(M7+M11+M19)</f>
        <v>#REF!</v>
      </c>
      <c r="N6" s="26"/>
      <c r="O6" s="26" t="e">
        <f>L6-M6</f>
        <v>#REF!</v>
      </c>
      <c r="P6" s="23" t="e">
        <f>P7+P11+P15+P16+P19</f>
        <v>#REF!</v>
      </c>
      <c r="Q6" s="24">
        <f>SUM(Q7+Q11)</f>
        <v>8564.3169999999991</v>
      </c>
      <c r="R6" s="26"/>
      <c r="S6" s="26" t="e">
        <f>P6-Q6</f>
        <v>#REF!</v>
      </c>
      <c r="T6" s="23" t="e">
        <f>T7+T11+T15+T16+T19</f>
        <v>#REF!</v>
      </c>
      <c r="U6" s="24" t="e">
        <f>SUM(U7+U11+U19)</f>
        <v>#REF!</v>
      </c>
      <c r="V6" s="26"/>
      <c r="W6" s="26" t="e">
        <f>T6-U6</f>
        <v>#REF!</v>
      </c>
      <c r="X6" s="23" t="e">
        <f>X7+X11+X15+X16+X19</f>
        <v>#REF!</v>
      </c>
      <c r="Y6" s="24">
        <f>SUM(Y11+Y15+Y16+Y19)+Y18+Y8+Y7</f>
        <v>1515.144</v>
      </c>
      <c r="Z6" s="26"/>
      <c r="AA6" s="26" t="e">
        <f>X6-Y6</f>
        <v>#REF!</v>
      </c>
      <c r="AB6" s="23" t="e">
        <f>SUM(AB7+AB11+AB16+AB19+AB15)</f>
        <v>#REF!</v>
      </c>
      <c r="AC6" s="23" t="e">
        <f>SUM(AC7+AC11+AC16+AC19)</f>
        <v>#REF!</v>
      </c>
      <c r="AD6" s="171"/>
      <c r="AE6" s="26" t="e">
        <f>AB6-AC6</f>
        <v>#REF!</v>
      </c>
      <c r="AF6" s="26">
        <f>AF7+AF11+AF15+AF16+AF19</f>
        <v>472084.76999999996</v>
      </c>
      <c r="AG6" s="26">
        <f>AG7+AG11+AG15+AG16+AG19</f>
        <v>210881.25</v>
      </c>
      <c r="AH6" s="26">
        <f>AH7+AH11+AH15+AH16+AH19</f>
        <v>60916.976000000002</v>
      </c>
      <c r="AI6" s="207">
        <f>AH6/AG6*100</f>
        <v>28.886862155834148</v>
      </c>
      <c r="AJ6" s="225" t="s">
        <v>173</v>
      </c>
    </row>
    <row r="7" spans="1:36" ht="25.5">
      <c r="A7" s="194">
        <v>1</v>
      </c>
      <c r="B7" s="2" t="s">
        <v>15</v>
      </c>
      <c r="C7" s="22" t="s">
        <v>14</v>
      </c>
      <c r="D7" s="4">
        <f>SUM(D8:D10)</f>
        <v>150</v>
      </c>
      <c r="E7" s="27">
        <f>SUM(E8:E10)</f>
        <v>0</v>
      </c>
      <c r="F7" s="28"/>
      <c r="G7" s="26">
        <f t="shared" ref="G7:G50" si="0">D7-E7</f>
        <v>150</v>
      </c>
      <c r="H7" s="4" t="e">
        <f>H8+H9+#REF!</f>
        <v>#REF!</v>
      </c>
      <c r="I7" s="29">
        <f>SUM(I8:I10)</f>
        <v>1035.49</v>
      </c>
      <c r="J7" s="28"/>
      <c r="K7" s="26" t="e">
        <f t="shared" ref="K7:K50" si="1">H7-I7</f>
        <v>#REF!</v>
      </c>
      <c r="L7" s="4" t="e">
        <f>SUM(L8+#REF!)</f>
        <v>#REF!</v>
      </c>
      <c r="M7" s="29">
        <f>SUM(M8:M10)</f>
        <v>0</v>
      </c>
      <c r="N7" s="28"/>
      <c r="O7" s="26" t="e">
        <f t="shared" ref="O7:O50" si="2">L7-M7</f>
        <v>#REF!</v>
      </c>
      <c r="P7" s="4" t="e">
        <f>P8+P9+P10+#REF!</f>
        <v>#REF!</v>
      </c>
      <c r="Q7" s="29">
        <f>SUM(Q8:Q10)</f>
        <v>278.42500000000001</v>
      </c>
      <c r="R7" s="26"/>
      <c r="S7" s="26" t="e">
        <f t="shared" ref="S7:S50" si="3">P7-Q7</f>
        <v>#REF!</v>
      </c>
      <c r="T7" s="142" t="e">
        <f>T9+#REF!</f>
        <v>#REF!</v>
      </c>
      <c r="U7" s="143" t="e">
        <f>#REF!</f>
        <v>#REF!</v>
      </c>
      <c r="V7" s="28"/>
      <c r="W7" s="26" t="e">
        <f t="shared" ref="W7:W50" si="4">T7-U7</f>
        <v>#REF!</v>
      </c>
      <c r="X7" s="26" t="e">
        <f>#REF!</f>
        <v>#REF!</v>
      </c>
      <c r="Y7" s="24">
        <f>Y8</f>
        <v>105</v>
      </c>
      <c r="Z7" s="26"/>
      <c r="AA7" s="26" t="e">
        <f t="shared" ref="AA7:AA50" si="5">X7-Y7</f>
        <v>#REF!</v>
      </c>
      <c r="AB7" s="4" t="e">
        <f>SUM(AB8+#REF!+AB9)</f>
        <v>#REF!</v>
      </c>
      <c r="AC7" s="4" t="e">
        <f>SUM(AC8+#REF!+AC9)</f>
        <v>#REF!</v>
      </c>
      <c r="AD7" s="171"/>
      <c r="AE7" s="26" t="e">
        <f t="shared" ref="AE7:AE50" si="6">AB7-AC7</f>
        <v>#REF!</v>
      </c>
      <c r="AF7" s="26">
        <f>AF8+AF9+AF10</f>
        <v>4561.88</v>
      </c>
      <c r="AG7" s="26">
        <f>AG8+AG9+AG10</f>
        <v>2280.9450000000002</v>
      </c>
      <c r="AH7" s="26">
        <f>AH8+AH9+AH10</f>
        <v>1100</v>
      </c>
      <c r="AI7" s="207">
        <f t="shared" ref="AI7:AI55" si="7">AH7/AG7*100</f>
        <v>48.225625782296369</v>
      </c>
      <c r="AJ7" s="225" t="s">
        <v>173</v>
      </c>
    </row>
    <row r="8" spans="1:36" ht="25.5">
      <c r="A8" s="195">
        <v>1.1000000000000001</v>
      </c>
      <c r="B8" s="5" t="s">
        <v>231</v>
      </c>
      <c r="C8" s="22" t="s">
        <v>14</v>
      </c>
      <c r="D8" s="9">
        <v>100</v>
      </c>
      <c r="E8" s="8"/>
      <c r="F8" s="32"/>
      <c r="G8" s="26">
        <f t="shared" si="0"/>
        <v>100</v>
      </c>
      <c r="H8" s="11">
        <v>150</v>
      </c>
      <c r="I8" s="178">
        <v>324.61700000000002</v>
      </c>
      <c r="J8" s="32"/>
      <c r="K8" s="26">
        <f t="shared" si="1"/>
        <v>-174.61700000000002</v>
      </c>
      <c r="L8" s="34"/>
      <c r="M8" s="10"/>
      <c r="N8" s="32"/>
      <c r="O8" s="26">
        <f t="shared" si="2"/>
        <v>0</v>
      </c>
      <c r="P8" s="11">
        <v>100</v>
      </c>
      <c r="Q8" s="10"/>
      <c r="R8" s="26"/>
      <c r="S8" s="26">
        <f t="shared" si="3"/>
        <v>100</v>
      </c>
      <c r="T8" s="9"/>
      <c r="U8" s="8"/>
      <c r="V8" s="32"/>
      <c r="W8" s="26">
        <f t="shared" si="4"/>
        <v>0</v>
      </c>
      <c r="X8" s="26"/>
      <c r="Y8" s="177">
        <v>105</v>
      </c>
      <c r="Z8" s="26"/>
      <c r="AA8" s="26">
        <f t="shared" si="5"/>
        <v>-105</v>
      </c>
      <c r="AB8" s="171">
        <v>150</v>
      </c>
      <c r="AC8" s="171"/>
      <c r="AD8" s="171"/>
      <c r="AE8" s="26">
        <f t="shared" si="6"/>
        <v>150</v>
      </c>
      <c r="AF8" s="51"/>
      <c r="AG8" s="51"/>
      <c r="AH8" s="213"/>
      <c r="AI8" s="207"/>
      <c r="AJ8" s="226" t="s">
        <v>173</v>
      </c>
    </row>
    <row r="9" spans="1:36" ht="25.5">
      <c r="A9" s="195">
        <v>1.2</v>
      </c>
      <c r="B9" s="5" t="s">
        <v>16</v>
      </c>
      <c r="C9" s="22" t="s">
        <v>14</v>
      </c>
      <c r="D9" s="9">
        <v>50</v>
      </c>
      <c r="E9" s="8"/>
      <c r="F9" s="32"/>
      <c r="G9" s="26">
        <f t="shared" si="0"/>
        <v>50</v>
      </c>
      <c r="H9" s="11">
        <v>410</v>
      </c>
      <c r="I9" s="178">
        <v>710.87300000000005</v>
      </c>
      <c r="J9" s="32"/>
      <c r="K9" s="26">
        <f t="shared" si="1"/>
        <v>-300.87300000000005</v>
      </c>
      <c r="L9" s="34"/>
      <c r="M9" s="10"/>
      <c r="N9" s="32"/>
      <c r="O9" s="26">
        <f t="shared" si="2"/>
        <v>0</v>
      </c>
      <c r="P9" s="11">
        <v>100</v>
      </c>
      <c r="Q9" s="178">
        <v>278.42500000000001</v>
      </c>
      <c r="R9" s="26"/>
      <c r="S9" s="26">
        <f t="shared" si="3"/>
        <v>-178.42500000000001</v>
      </c>
      <c r="T9" s="9">
        <v>100</v>
      </c>
      <c r="U9" s="8"/>
      <c r="V9" s="32"/>
      <c r="W9" s="26">
        <f t="shared" si="4"/>
        <v>100</v>
      </c>
      <c r="X9" s="26"/>
      <c r="Y9" s="24"/>
      <c r="Z9" s="26"/>
      <c r="AA9" s="26">
        <f t="shared" si="5"/>
        <v>0</v>
      </c>
      <c r="AB9" s="171">
        <v>350</v>
      </c>
      <c r="AC9" s="171"/>
      <c r="AD9" s="171"/>
      <c r="AE9" s="26">
        <f t="shared" si="6"/>
        <v>350</v>
      </c>
      <c r="AF9" s="51">
        <v>4298.01</v>
      </c>
      <c r="AG9" s="51">
        <f>AF9/2</f>
        <v>2149.0050000000001</v>
      </c>
      <c r="AH9" s="51">
        <v>1000</v>
      </c>
      <c r="AI9" s="207">
        <f t="shared" si="7"/>
        <v>46.533163021956668</v>
      </c>
      <c r="AJ9" s="226" t="s">
        <v>173</v>
      </c>
    </row>
    <row r="10" spans="1:36" ht="25.5">
      <c r="A10" s="195">
        <v>1.3</v>
      </c>
      <c r="B10" s="5" t="s">
        <v>232</v>
      </c>
      <c r="C10" s="22" t="s">
        <v>14</v>
      </c>
      <c r="D10" s="9"/>
      <c r="E10" s="8"/>
      <c r="F10" s="32"/>
      <c r="G10" s="26">
        <f t="shared" si="0"/>
        <v>0</v>
      </c>
      <c r="H10" s="6"/>
      <c r="I10" s="10"/>
      <c r="J10" s="32"/>
      <c r="K10" s="26">
        <f t="shared" si="1"/>
        <v>0</v>
      </c>
      <c r="L10" s="34"/>
      <c r="M10" s="10"/>
      <c r="N10" s="32"/>
      <c r="O10" s="26">
        <f t="shared" si="2"/>
        <v>0</v>
      </c>
      <c r="P10" s="11">
        <v>100</v>
      </c>
      <c r="Q10" s="10"/>
      <c r="R10" s="26"/>
      <c r="S10" s="26">
        <f t="shared" si="3"/>
        <v>100</v>
      </c>
      <c r="T10" s="9"/>
      <c r="U10" s="8"/>
      <c r="V10" s="32"/>
      <c r="W10" s="26">
        <f t="shared" si="4"/>
        <v>0</v>
      </c>
      <c r="X10" s="26"/>
      <c r="Y10" s="24"/>
      <c r="Z10" s="26"/>
      <c r="AA10" s="26">
        <f t="shared" si="5"/>
        <v>0</v>
      </c>
      <c r="AB10" s="171"/>
      <c r="AC10" s="171"/>
      <c r="AD10" s="171"/>
      <c r="AE10" s="26">
        <f t="shared" si="6"/>
        <v>0</v>
      </c>
      <c r="AF10" s="51">
        <v>263.87</v>
      </c>
      <c r="AG10" s="51">
        <f t="shared" ref="AG10" si="8">263.88/2</f>
        <v>131.94</v>
      </c>
      <c r="AH10" s="51">
        <v>100</v>
      </c>
      <c r="AI10" s="207">
        <f t="shared" si="7"/>
        <v>75.792026678793391</v>
      </c>
      <c r="AJ10" s="226" t="s">
        <v>173</v>
      </c>
    </row>
    <row r="11" spans="1:36">
      <c r="A11" s="194">
        <v>2</v>
      </c>
      <c r="B11" s="1" t="s">
        <v>17</v>
      </c>
      <c r="C11" s="22" t="s">
        <v>14</v>
      </c>
      <c r="D11" s="4">
        <f>SUM(D12:D13)</f>
        <v>4166.93</v>
      </c>
      <c r="E11" s="27">
        <f>SUM(E12:E13)</f>
        <v>8203.8040000000001</v>
      </c>
      <c r="F11" s="28"/>
      <c r="G11" s="26">
        <f t="shared" si="0"/>
        <v>-4036.8739999999998</v>
      </c>
      <c r="H11" s="4">
        <f>H12+H13</f>
        <v>25987.31</v>
      </c>
      <c r="I11" s="29">
        <f>SUM(I12:I13)</f>
        <v>20900.534</v>
      </c>
      <c r="J11" s="28"/>
      <c r="K11" s="26">
        <f t="shared" si="1"/>
        <v>5086.7760000000017</v>
      </c>
      <c r="L11" s="4">
        <f>SUM(L12:L13)</f>
        <v>4304.57</v>
      </c>
      <c r="M11" s="29">
        <f>SUM(M12:M13)</f>
        <v>4694.8140000000003</v>
      </c>
      <c r="N11" s="28"/>
      <c r="O11" s="26">
        <f t="shared" si="2"/>
        <v>-390.2440000000006</v>
      </c>
      <c r="P11" s="30">
        <f>P12+P13</f>
        <v>11751.56</v>
      </c>
      <c r="Q11" s="29">
        <f>SUM(Q12:Q13)</f>
        <v>8285.8919999999998</v>
      </c>
      <c r="R11" s="26"/>
      <c r="S11" s="26">
        <f t="shared" si="3"/>
        <v>3465.6679999999997</v>
      </c>
      <c r="T11" s="4">
        <f>T12+T13</f>
        <v>8764.5499999999993</v>
      </c>
      <c r="U11" s="29">
        <f>SUM(U12:U13)</f>
        <v>11591.002</v>
      </c>
      <c r="V11" s="28"/>
      <c r="W11" s="26">
        <f t="shared" si="4"/>
        <v>-2826.4520000000011</v>
      </c>
      <c r="X11" s="26">
        <f>X12+X13</f>
        <v>3107.99</v>
      </c>
      <c r="Y11" s="24">
        <f>SUM(Y12:Y13)</f>
        <v>1305.144</v>
      </c>
      <c r="Z11" s="26"/>
      <c r="AA11" s="26">
        <f t="shared" si="5"/>
        <v>1802.8459999999998</v>
      </c>
      <c r="AB11" s="4">
        <f>SUM(AB12:AB13)</f>
        <v>28120.73</v>
      </c>
      <c r="AC11" s="4">
        <f>SUM(AC12:AC13)</f>
        <v>22427.197</v>
      </c>
      <c r="AD11" s="171"/>
      <c r="AE11" s="26">
        <f t="shared" si="6"/>
        <v>5693.5329999999994</v>
      </c>
      <c r="AF11" s="26">
        <f>AF12+AF13+AF14</f>
        <v>150487.84</v>
      </c>
      <c r="AG11" s="26">
        <f>AG12+AG13+AG14</f>
        <v>64243.93</v>
      </c>
      <c r="AH11" s="26">
        <f>AH12+AH13+AH14</f>
        <v>45411.186999999998</v>
      </c>
      <c r="AI11" s="207">
        <f t="shared" si="7"/>
        <v>70.685568270807835</v>
      </c>
      <c r="AJ11" s="208"/>
    </row>
    <row r="12" spans="1:36" ht="25.5">
      <c r="A12" s="195">
        <v>2.1</v>
      </c>
      <c r="B12" s="5" t="s">
        <v>18</v>
      </c>
      <c r="C12" s="22" t="s">
        <v>14</v>
      </c>
      <c r="D12" s="9">
        <v>3754</v>
      </c>
      <c r="E12" s="180">
        <v>7483.1139999999996</v>
      </c>
      <c r="F12" s="32"/>
      <c r="G12" s="26">
        <f t="shared" si="0"/>
        <v>-3729.1139999999996</v>
      </c>
      <c r="H12" s="11">
        <v>23412</v>
      </c>
      <c r="I12" s="178">
        <v>19021.316999999999</v>
      </c>
      <c r="J12" s="32"/>
      <c r="K12" s="26">
        <f t="shared" si="1"/>
        <v>4390.6830000000009</v>
      </c>
      <c r="L12" s="34">
        <v>3878</v>
      </c>
      <c r="M12" s="178">
        <v>4281.4740000000002</v>
      </c>
      <c r="N12" s="32"/>
      <c r="O12" s="26">
        <f t="shared" si="2"/>
        <v>-403.47400000000016</v>
      </c>
      <c r="P12" s="33">
        <v>10587</v>
      </c>
      <c r="Q12" s="178">
        <v>7535.9920000000002</v>
      </c>
      <c r="R12" s="26"/>
      <c r="S12" s="26">
        <f t="shared" si="3"/>
        <v>3051.0079999999998</v>
      </c>
      <c r="T12" s="9">
        <v>7896</v>
      </c>
      <c r="U12" s="180">
        <v>10648.901</v>
      </c>
      <c r="V12" s="32"/>
      <c r="W12" s="26">
        <f t="shared" si="4"/>
        <v>-2752.9009999999998</v>
      </c>
      <c r="X12" s="51">
        <v>2800</v>
      </c>
      <c r="Y12" s="177">
        <v>1196.2149999999999</v>
      </c>
      <c r="Z12" s="26"/>
      <c r="AA12" s="26">
        <f t="shared" si="5"/>
        <v>1603.7850000000001</v>
      </c>
      <c r="AB12" s="171">
        <v>25334</v>
      </c>
      <c r="AC12" s="182">
        <v>20494.194</v>
      </c>
      <c r="AD12" s="171"/>
      <c r="AE12" s="26">
        <f t="shared" si="6"/>
        <v>4839.8060000000005</v>
      </c>
      <c r="AF12" s="51">
        <v>135087.82999999999</v>
      </c>
      <c r="AG12" s="51">
        <v>57543.92</v>
      </c>
      <c r="AH12" s="51">
        <v>41239.451999999997</v>
      </c>
      <c r="AI12" s="207">
        <f t="shared" si="7"/>
        <v>71.666045691708177</v>
      </c>
      <c r="AJ12" s="226" t="s">
        <v>173</v>
      </c>
    </row>
    <row r="13" spans="1:36" ht="25.5">
      <c r="A13" s="195">
        <v>2.2000000000000002</v>
      </c>
      <c r="B13" s="5" t="s">
        <v>19</v>
      </c>
      <c r="C13" s="22" t="s">
        <v>14</v>
      </c>
      <c r="D13" s="9">
        <v>412.93</v>
      </c>
      <c r="E13" s="180">
        <v>720.69</v>
      </c>
      <c r="F13" s="32"/>
      <c r="G13" s="26">
        <f t="shared" si="0"/>
        <v>-307.76000000000005</v>
      </c>
      <c r="H13" s="5">
        <v>2575.31</v>
      </c>
      <c r="I13" s="178">
        <v>1879.2170000000001</v>
      </c>
      <c r="J13" s="32"/>
      <c r="K13" s="26">
        <f t="shared" si="1"/>
        <v>696.09299999999985</v>
      </c>
      <c r="L13" s="9">
        <v>426.57</v>
      </c>
      <c r="M13" s="178">
        <v>413.34</v>
      </c>
      <c r="N13" s="32"/>
      <c r="O13" s="26">
        <f t="shared" si="2"/>
        <v>13.230000000000018</v>
      </c>
      <c r="P13" s="5">
        <v>1164.56</v>
      </c>
      <c r="Q13" s="178">
        <v>749.9</v>
      </c>
      <c r="R13" s="26"/>
      <c r="S13" s="26">
        <f t="shared" si="3"/>
        <v>414.65999999999997</v>
      </c>
      <c r="T13" s="9">
        <v>868.55</v>
      </c>
      <c r="U13" s="180">
        <v>942.101</v>
      </c>
      <c r="V13" s="32"/>
      <c r="W13" s="26">
        <f t="shared" si="4"/>
        <v>-73.551000000000045</v>
      </c>
      <c r="X13" s="51">
        <v>307.99</v>
      </c>
      <c r="Y13" s="177">
        <v>108.929</v>
      </c>
      <c r="Z13" s="26"/>
      <c r="AA13" s="26">
        <f t="shared" si="5"/>
        <v>199.06100000000001</v>
      </c>
      <c r="AB13" s="171">
        <v>2786.73</v>
      </c>
      <c r="AC13" s="182">
        <v>1933.0029999999999</v>
      </c>
      <c r="AD13" s="171"/>
      <c r="AE13" s="26">
        <f t="shared" si="6"/>
        <v>853.72700000000009</v>
      </c>
      <c r="AF13" s="51">
        <v>13373.69</v>
      </c>
      <c r="AG13" s="51">
        <v>5686.85</v>
      </c>
      <c r="AH13" s="51">
        <v>3582.105</v>
      </c>
      <c r="AI13" s="207">
        <f t="shared" si="7"/>
        <v>62.989264707175316</v>
      </c>
      <c r="AJ13" s="226" t="s">
        <v>173</v>
      </c>
    </row>
    <row r="14" spans="1:36" ht="25.5">
      <c r="A14" s="201">
        <v>2.2999999999999998</v>
      </c>
      <c r="B14" s="210" t="s">
        <v>245</v>
      </c>
      <c r="C14" s="22" t="s">
        <v>14</v>
      </c>
      <c r="D14" s="185"/>
      <c r="E14" s="186"/>
      <c r="F14" s="187"/>
      <c r="G14" s="171"/>
      <c r="H14" s="210"/>
      <c r="I14" s="189"/>
      <c r="J14" s="187"/>
      <c r="K14" s="171"/>
      <c r="L14" s="185"/>
      <c r="M14" s="189"/>
      <c r="N14" s="187"/>
      <c r="O14" s="171"/>
      <c r="P14" s="210"/>
      <c r="Q14" s="189"/>
      <c r="R14" s="171"/>
      <c r="S14" s="171"/>
      <c r="T14" s="185"/>
      <c r="U14" s="186"/>
      <c r="V14" s="187"/>
      <c r="W14" s="171"/>
      <c r="X14" s="171"/>
      <c r="Y14" s="191"/>
      <c r="Z14" s="171"/>
      <c r="AA14" s="171"/>
      <c r="AB14" s="171"/>
      <c r="AC14" s="171"/>
      <c r="AD14" s="171"/>
      <c r="AE14" s="171"/>
      <c r="AF14" s="202">
        <v>2026.32</v>
      </c>
      <c r="AG14" s="202">
        <f>2026.32/2</f>
        <v>1013.16</v>
      </c>
      <c r="AH14" s="202">
        <v>589.63</v>
      </c>
      <c r="AI14" s="207">
        <f t="shared" si="7"/>
        <v>58.197125824154128</v>
      </c>
      <c r="AJ14" s="227" t="s">
        <v>173</v>
      </c>
    </row>
    <row r="15" spans="1:36" ht="25.5">
      <c r="A15" s="194">
        <v>3</v>
      </c>
      <c r="B15" s="1" t="s">
        <v>20</v>
      </c>
      <c r="C15" s="22" t="s">
        <v>14</v>
      </c>
      <c r="D15" s="4">
        <v>560</v>
      </c>
      <c r="E15" s="27"/>
      <c r="F15" s="28"/>
      <c r="G15" s="26">
        <f t="shared" si="0"/>
        <v>560</v>
      </c>
      <c r="H15" s="12">
        <v>560</v>
      </c>
      <c r="I15" s="29"/>
      <c r="J15" s="28"/>
      <c r="K15" s="26">
        <f t="shared" si="1"/>
        <v>560</v>
      </c>
      <c r="L15" s="36">
        <v>250</v>
      </c>
      <c r="M15" s="29"/>
      <c r="N15" s="28"/>
      <c r="O15" s="26">
        <f t="shared" si="2"/>
        <v>250</v>
      </c>
      <c r="P15" s="12">
        <v>6500</v>
      </c>
      <c r="Q15" s="29"/>
      <c r="R15" s="26"/>
      <c r="S15" s="26">
        <f t="shared" si="3"/>
        <v>6500</v>
      </c>
      <c r="T15" s="4">
        <v>560</v>
      </c>
      <c r="U15" s="27"/>
      <c r="V15" s="28"/>
      <c r="W15" s="26">
        <f t="shared" si="4"/>
        <v>560</v>
      </c>
      <c r="X15" s="26">
        <v>1936</v>
      </c>
      <c r="Y15" s="24"/>
      <c r="Z15" s="26"/>
      <c r="AA15" s="26">
        <f t="shared" si="5"/>
        <v>1936</v>
      </c>
      <c r="AB15" s="36">
        <v>560</v>
      </c>
      <c r="AC15" s="171"/>
      <c r="AD15" s="171"/>
      <c r="AE15" s="26">
        <f t="shared" si="6"/>
        <v>560</v>
      </c>
      <c r="AF15" s="26">
        <v>213834</v>
      </c>
      <c r="AG15" s="26">
        <f>213834/2</f>
        <v>106917</v>
      </c>
      <c r="AH15" s="26">
        <v>13267.135</v>
      </c>
      <c r="AI15" s="207">
        <f t="shared" si="7"/>
        <v>12.408817119821919</v>
      </c>
      <c r="AJ15" s="227" t="s">
        <v>173</v>
      </c>
    </row>
    <row r="16" spans="1:36" ht="25.5">
      <c r="A16" s="194">
        <v>4</v>
      </c>
      <c r="B16" s="37" t="s">
        <v>21</v>
      </c>
      <c r="C16" s="22" t="s">
        <v>14</v>
      </c>
      <c r="D16" s="27">
        <v>1225.4100000000001</v>
      </c>
      <c r="E16" s="27"/>
      <c r="F16" s="28"/>
      <c r="G16" s="26">
        <f t="shared" si="0"/>
        <v>1225.4100000000001</v>
      </c>
      <c r="H16" s="1">
        <v>1427.04</v>
      </c>
      <c r="I16" s="29">
        <f>I18</f>
        <v>0</v>
      </c>
      <c r="J16" s="28"/>
      <c r="K16" s="26">
        <f t="shared" si="1"/>
        <v>1427.04</v>
      </c>
      <c r="L16" s="4">
        <f>L18</f>
        <v>340</v>
      </c>
      <c r="M16" s="29">
        <v>0</v>
      </c>
      <c r="N16" s="28"/>
      <c r="O16" s="26">
        <f t="shared" si="2"/>
        <v>340</v>
      </c>
      <c r="P16" s="4">
        <f>P18</f>
        <v>1340.8</v>
      </c>
      <c r="Q16" s="29">
        <v>0</v>
      </c>
      <c r="R16" s="26"/>
      <c r="S16" s="26">
        <f t="shared" si="3"/>
        <v>1340.8</v>
      </c>
      <c r="T16" s="4">
        <v>2567.5</v>
      </c>
      <c r="U16" s="27">
        <f>U18</f>
        <v>0</v>
      </c>
      <c r="V16" s="28"/>
      <c r="W16" s="26">
        <f t="shared" si="4"/>
        <v>2567.5</v>
      </c>
      <c r="X16" s="26">
        <f>X18</f>
        <v>338</v>
      </c>
      <c r="Y16" s="24"/>
      <c r="Z16" s="26"/>
      <c r="AA16" s="26">
        <f t="shared" si="5"/>
        <v>338</v>
      </c>
      <c r="AB16" s="4">
        <f>AB18</f>
        <v>1340.8</v>
      </c>
      <c r="AC16" s="4">
        <f>AC18</f>
        <v>4213.9399999999996</v>
      </c>
      <c r="AD16" s="171"/>
      <c r="AE16" s="26">
        <f t="shared" si="6"/>
        <v>-2873.1399999999994</v>
      </c>
      <c r="AF16" s="26">
        <f>AF18</f>
        <v>91471.37</v>
      </c>
      <c r="AG16" s="26">
        <f>AG18</f>
        <v>35600</v>
      </c>
      <c r="AH16" s="26">
        <f>AH18</f>
        <v>0</v>
      </c>
      <c r="AI16" s="207">
        <f t="shared" si="7"/>
        <v>0</v>
      </c>
      <c r="AJ16" s="227" t="s">
        <v>173</v>
      </c>
    </row>
    <row r="17" spans="1:36" ht="34.5">
      <c r="A17" s="196">
        <v>4.0999999999999996</v>
      </c>
      <c r="B17" s="3" t="s">
        <v>22</v>
      </c>
      <c r="C17" s="22" t="s">
        <v>14</v>
      </c>
      <c r="D17" s="9"/>
      <c r="E17" s="8"/>
      <c r="F17" s="32"/>
      <c r="G17" s="26">
        <f t="shared" si="0"/>
        <v>0</v>
      </c>
      <c r="H17" s="6"/>
      <c r="I17" s="10"/>
      <c r="J17" s="32"/>
      <c r="K17" s="26">
        <f t="shared" si="1"/>
        <v>0</v>
      </c>
      <c r="L17" s="34"/>
      <c r="M17" s="10"/>
      <c r="N17" s="32"/>
      <c r="O17" s="26">
        <f t="shared" si="2"/>
        <v>0</v>
      </c>
      <c r="P17" s="6"/>
      <c r="Q17" s="10"/>
      <c r="R17" s="26"/>
      <c r="S17" s="26">
        <f t="shared" si="3"/>
        <v>0</v>
      </c>
      <c r="T17" s="9"/>
      <c r="U17" s="8"/>
      <c r="V17" s="32"/>
      <c r="W17" s="26">
        <f t="shared" si="4"/>
        <v>0</v>
      </c>
      <c r="X17" s="26"/>
      <c r="Y17" s="24"/>
      <c r="Z17" s="26"/>
      <c r="AA17" s="26">
        <f t="shared" si="5"/>
        <v>0</v>
      </c>
      <c r="AB17" s="171"/>
      <c r="AC17" s="171"/>
      <c r="AD17" s="171"/>
      <c r="AE17" s="26">
        <f t="shared" si="6"/>
        <v>0</v>
      </c>
      <c r="AF17" s="26">
        <f t="shared" ref="AF17:AG17" si="9">D17+H17+L17+P17+T17+X17+AB17</f>
        <v>0</v>
      </c>
      <c r="AG17" s="26">
        <f t="shared" si="9"/>
        <v>0</v>
      </c>
      <c r="AH17" s="26"/>
      <c r="AI17" s="207"/>
      <c r="AJ17" s="227" t="s">
        <v>173</v>
      </c>
    </row>
    <row r="18" spans="1:36" ht="34.5">
      <c r="A18" s="195">
        <v>4.2</v>
      </c>
      <c r="B18" s="3" t="s">
        <v>226</v>
      </c>
      <c r="C18" s="22" t="s">
        <v>14</v>
      </c>
      <c r="D18" s="169">
        <v>1225.4100000000001</v>
      </c>
      <c r="E18" s="40"/>
      <c r="F18" s="41"/>
      <c r="G18" s="26">
        <f t="shared" si="0"/>
        <v>1225.4100000000001</v>
      </c>
      <c r="H18" s="41">
        <v>1427.04</v>
      </c>
      <c r="I18" s="181"/>
      <c r="J18" s="41"/>
      <c r="K18" s="26">
        <f t="shared" si="1"/>
        <v>1427.04</v>
      </c>
      <c r="L18" s="43">
        <v>340</v>
      </c>
      <c r="M18" s="42"/>
      <c r="N18" s="41"/>
      <c r="O18" s="26">
        <f t="shared" si="2"/>
        <v>340</v>
      </c>
      <c r="P18" s="44">
        <v>1340.8</v>
      </c>
      <c r="Q18" s="42"/>
      <c r="R18" s="26"/>
      <c r="S18" s="26">
        <f t="shared" si="3"/>
        <v>1340.8</v>
      </c>
      <c r="T18" s="39">
        <v>2567.5</v>
      </c>
      <c r="U18" s="40"/>
      <c r="V18" s="41"/>
      <c r="W18" s="26">
        <f t="shared" si="4"/>
        <v>2567.5</v>
      </c>
      <c r="X18" s="26">
        <v>338</v>
      </c>
      <c r="Y18" s="24"/>
      <c r="Z18" s="26"/>
      <c r="AA18" s="26">
        <f t="shared" si="5"/>
        <v>338</v>
      </c>
      <c r="AB18" s="171">
        <v>1340.8</v>
      </c>
      <c r="AC18" s="182">
        <v>4213.9399999999996</v>
      </c>
      <c r="AD18" s="171"/>
      <c r="AE18" s="26">
        <f t="shared" si="6"/>
        <v>-2873.1399999999994</v>
      </c>
      <c r="AF18" s="51">
        <v>91471.37</v>
      </c>
      <c r="AG18" s="51">
        <v>35600</v>
      </c>
      <c r="AH18" s="51"/>
      <c r="AI18" s="207">
        <f t="shared" si="7"/>
        <v>0</v>
      </c>
      <c r="AJ18" s="227" t="s">
        <v>173</v>
      </c>
    </row>
    <row r="19" spans="1:36" ht="37.5" customHeight="1">
      <c r="A19" s="197">
        <v>5</v>
      </c>
      <c r="B19" s="45" t="s">
        <v>23</v>
      </c>
      <c r="C19" s="22" t="s">
        <v>14</v>
      </c>
      <c r="D19" s="4">
        <v>46</v>
      </c>
      <c r="E19" s="27">
        <f>E20</f>
        <v>92.656999999999996</v>
      </c>
      <c r="F19" s="28"/>
      <c r="G19" s="26">
        <f t="shared" si="0"/>
        <v>-46.656999999999996</v>
      </c>
      <c r="H19" s="1">
        <v>96</v>
      </c>
      <c r="I19" s="27" t="e">
        <f>I23</f>
        <v>#REF!</v>
      </c>
      <c r="J19" s="28"/>
      <c r="K19" s="26" t="e">
        <f t="shared" si="1"/>
        <v>#REF!</v>
      </c>
      <c r="L19" s="4">
        <v>76</v>
      </c>
      <c r="M19" s="29" t="e">
        <f>#REF!+M20</f>
        <v>#REF!</v>
      </c>
      <c r="N19" s="28"/>
      <c r="O19" s="26" t="e">
        <f t="shared" si="2"/>
        <v>#REF!</v>
      </c>
      <c r="P19" s="4" t="e">
        <f>P23</f>
        <v>#REF!</v>
      </c>
      <c r="Q19" s="27">
        <v>0</v>
      </c>
      <c r="R19" s="26"/>
      <c r="S19" s="26" t="e">
        <f t="shared" si="3"/>
        <v>#REF!</v>
      </c>
      <c r="T19" s="4">
        <v>85.460000000000008</v>
      </c>
      <c r="U19" s="27" t="e">
        <f>U20+#REF!</f>
        <v>#REF!</v>
      </c>
      <c r="V19" s="28"/>
      <c r="W19" s="26" t="e">
        <f t="shared" si="4"/>
        <v>#REF!</v>
      </c>
      <c r="X19" s="4" t="e">
        <f>X23</f>
        <v>#REF!</v>
      </c>
      <c r="Y19" s="27">
        <f>Y27</f>
        <v>0</v>
      </c>
      <c r="Z19" s="26"/>
      <c r="AA19" s="26" t="e">
        <f t="shared" si="5"/>
        <v>#REF!</v>
      </c>
      <c r="AB19" s="4">
        <v>76</v>
      </c>
      <c r="AC19" s="4">
        <f>AC20</f>
        <v>92.656999999999996</v>
      </c>
      <c r="AD19" s="171"/>
      <c r="AE19" s="26">
        <f t="shared" si="6"/>
        <v>-16.656999999999996</v>
      </c>
      <c r="AF19" s="26">
        <f>AF20+AF21+AF23+AF26+AF27</f>
        <v>11729.68</v>
      </c>
      <c r="AG19" s="26">
        <f>AG20+AG21+AG23+AG26+AG27</f>
        <v>1839.3750000000002</v>
      </c>
      <c r="AH19" s="26">
        <f>AH20+AH21+AH23+AH26+AH27</f>
        <v>1138.654</v>
      </c>
      <c r="AI19" s="207">
        <f t="shared" si="7"/>
        <v>61.904396873938147</v>
      </c>
      <c r="AJ19" s="227" t="s">
        <v>173</v>
      </c>
    </row>
    <row r="20" spans="1:36" ht="45.75">
      <c r="A20" s="196">
        <v>5.0999999999999996</v>
      </c>
      <c r="B20" s="3" t="s">
        <v>24</v>
      </c>
      <c r="C20" s="22" t="s">
        <v>14</v>
      </c>
      <c r="D20" s="9"/>
      <c r="E20" s="8">
        <v>92.656999999999996</v>
      </c>
      <c r="F20" s="32"/>
      <c r="G20" s="26">
        <f t="shared" si="0"/>
        <v>-92.656999999999996</v>
      </c>
      <c r="H20" s="6"/>
      <c r="I20" s="10"/>
      <c r="J20" s="32"/>
      <c r="K20" s="26">
        <f t="shared" si="1"/>
        <v>0</v>
      </c>
      <c r="L20" s="34"/>
      <c r="M20" s="178">
        <v>92.656999999999996</v>
      </c>
      <c r="N20" s="32"/>
      <c r="O20" s="26">
        <f t="shared" si="2"/>
        <v>-92.656999999999996</v>
      </c>
      <c r="P20" s="11"/>
      <c r="Q20" s="10"/>
      <c r="R20" s="26"/>
      <c r="S20" s="26">
        <f t="shared" si="3"/>
        <v>0</v>
      </c>
      <c r="T20" s="9"/>
      <c r="U20" s="180">
        <v>244.096</v>
      </c>
      <c r="V20" s="32"/>
      <c r="W20" s="26">
        <f t="shared" si="4"/>
        <v>-244.096</v>
      </c>
      <c r="X20" s="26"/>
      <c r="Y20" s="24"/>
      <c r="Z20" s="26"/>
      <c r="AA20" s="26">
        <f t="shared" si="5"/>
        <v>0</v>
      </c>
      <c r="AB20" s="171"/>
      <c r="AC20" s="182">
        <v>92.656999999999996</v>
      </c>
      <c r="AD20" s="171"/>
      <c r="AE20" s="26">
        <f t="shared" si="6"/>
        <v>-92.656999999999996</v>
      </c>
      <c r="AF20" s="51">
        <v>8050.93</v>
      </c>
      <c r="AG20" s="51"/>
      <c r="AH20" s="51"/>
      <c r="AI20" s="207"/>
      <c r="AJ20" s="227" t="s">
        <v>173</v>
      </c>
    </row>
    <row r="21" spans="1:36" ht="25.5">
      <c r="A21" s="195">
        <v>5.2</v>
      </c>
      <c r="B21" s="5" t="s">
        <v>27</v>
      </c>
      <c r="C21" s="22" t="s">
        <v>14</v>
      </c>
      <c r="D21" s="9"/>
      <c r="E21" s="8"/>
      <c r="F21" s="32"/>
      <c r="G21" s="26">
        <f t="shared" si="0"/>
        <v>0</v>
      </c>
      <c r="H21" s="6"/>
      <c r="I21" s="10"/>
      <c r="J21" s="32"/>
      <c r="K21" s="26">
        <f t="shared" si="1"/>
        <v>0</v>
      </c>
      <c r="L21" s="34"/>
      <c r="M21" s="10"/>
      <c r="N21" s="32"/>
      <c r="O21" s="26">
        <f t="shared" si="2"/>
        <v>0</v>
      </c>
      <c r="P21" s="11"/>
      <c r="Q21" s="10"/>
      <c r="R21" s="26"/>
      <c r="S21" s="26">
        <f t="shared" si="3"/>
        <v>0</v>
      </c>
      <c r="T21" s="9"/>
      <c r="U21" s="8"/>
      <c r="V21" s="32"/>
      <c r="W21" s="26">
        <f t="shared" si="4"/>
        <v>0</v>
      </c>
      <c r="X21" s="26"/>
      <c r="Y21" s="24"/>
      <c r="Z21" s="26"/>
      <c r="AA21" s="26">
        <f t="shared" si="5"/>
        <v>0</v>
      </c>
      <c r="AB21" s="171"/>
      <c r="AC21" s="171"/>
      <c r="AD21" s="171"/>
      <c r="AE21" s="26">
        <f t="shared" si="6"/>
        <v>0</v>
      </c>
      <c r="AF21" s="51">
        <v>1271.55</v>
      </c>
      <c r="AG21" s="51">
        <f>1271.55/2</f>
        <v>635.77499999999998</v>
      </c>
      <c r="AH21" s="51">
        <v>500</v>
      </c>
      <c r="AI21" s="207">
        <f t="shared" si="7"/>
        <v>78.644174432778897</v>
      </c>
      <c r="AJ21" s="227" t="s">
        <v>173</v>
      </c>
    </row>
    <row r="22" spans="1:36" ht="25.5">
      <c r="A22" s="201">
        <v>5.3</v>
      </c>
      <c r="B22" s="210" t="s">
        <v>234</v>
      </c>
      <c r="C22" s="22" t="s">
        <v>14</v>
      </c>
      <c r="D22" s="185"/>
      <c r="E22" s="186"/>
      <c r="F22" s="187"/>
      <c r="G22" s="171"/>
      <c r="H22" s="188"/>
      <c r="I22" s="189"/>
      <c r="J22" s="187"/>
      <c r="K22" s="171"/>
      <c r="L22" s="190"/>
      <c r="M22" s="189"/>
      <c r="N22" s="187"/>
      <c r="O22" s="171"/>
      <c r="P22" s="211"/>
      <c r="Q22" s="189"/>
      <c r="R22" s="171"/>
      <c r="S22" s="171"/>
      <c r="T22" s="185"/>
      <c r="U22" s="186"/>
      <c r="V22" s="187"/>
      <c r="W22" s="171"/>
      <c r="X22" s="171"/>
      <c r="Y22" s="191"/>
      <c r="Z22" s="171"/>
      <c r="AA22" s="171"/>
      <c r="AB22" s="171"/>
      <c r="AC22" s="171"/>
      <c r="AD22" s="171"/>
      <c r="AE22" s="171"/>
      <c r="AF22" s="202"/>
      <c r="AG22" s="202"/>
      <c r="AH22" s="202"/>
      <c r="AI22" s="207"/>
      <c r="AJ22" s="227" t="s">
        <v>173</v>
      </c>
    </row>
    <row r="23" spans="1:36" ht="25.5">
      <c r="A23" s="195">
        <v>5.4</v>
      </c>
      <c r="B23" s="1" t="s">
        <v>233</v>
      </c>
      <c r="C23" s="3" t="s">
        <v>14</v>
      </c>
      <c r="D23" s="9">
        <v>46</v>
      </c>
      <c r="E23" s="8"/>
      <c r="F23" s="32"/>
      <c r="G23" s="26">
        <f t="shared" si="0"/>
        <v>46</v>
      </c>
      <c r="H23" s="11">
        <v>96</v>
      </c>
      <c r="I23" s="8" t="e">
        <f>#REF!+#REF!</f>
        <v>#REF!</v>
      </c>
      <c r="J23" s="32"/>
      <c r="K23" s="26" t="e">
        <f t="shared" si="1"/>
        <v>#REF!</v>
      </c>
      <c r="L23" s="34">
        <v>76</v>
      </c>
      <c r="M23" s="10"/>
      <c r="N23" s="32"/>
      <c r="O23" s="26">
        <f t="shared" si="2"/>
        <v>76</v>
      </c>
      <c r="P23" s="11" t="e">
        <f>P24+#REF!+#REF!+#REF!</f>
        <v>#REF!</v>
      </c>
      <c r="Q23" s="10"/>
      <c r="R23" s="26"/>
      <c r="S23" s="26" t="e">
        <f t="shared" si="3"/>
        <v>#REF!</v>
      </c>
      <c r="T23" s="9"/>
      <c r="U23" s="8"/>
      <c r="V23" s="32"/>
      <c r="W23" s="26">
        <f t="shared" si="4"/>
        <v>0</v>
      </c>
      <c r="X23" s="26" t="e">
        <f>#REF!+#REF!</f>
        <v>#REF!</v>
      </c>
      <c r="Y23" s="24"/>
      <c r="Z23" s="26"/>
      <c r="AA23" s="26" t="e">
        <f t="shared" si="5"/>
        <v>#REF!</v>
      </c>
      <c r="AB23" s="171">
        <v>76</v>
      </c>
      <c r="AC23" s="171"/>
      <c r="AD23" s="171"/>
      <c r="AE23" s="26">
        <f t="shared" si="6"/>
        <v>76</v>
      </c>
      <c r="AF23" s="26">
        <f>SUM(AF24+AF25)</f>
        <v>2086.84</v>
      </c>
      <c r="AG23" s="26">
        <f>SUM(AG24+AG25)</f>
        <v>1043.42</v>
      </c>
      <c r="AH23" s="26">
        <f>SUM(AH24+AH25)</f>
        <v>638.654</v>
      </c>
      <c r="AI23" s="207">
        <f t="shared" si="7"/>
        <v>61.207759099883077</v>
      </c>
      <c r="AJ23" s="227" t="s">
        <v>173</v>
      </c>
    </row>
    <row r="24" spans="1:36" ht="25.5">
      <c r="A24" s="195"/>
      <c r="B24" s="3" t="s">
        <v>26</v>
      </c>
      <c r="C24" s="3" t="s">
        <v>14</v>
      </c>
      <c r="D24" s="9"/>
      <c r="E24" s="8"/>
      <c r="F24" s="32"/>
      <c r="G24" s="26">
        <f t="shared" si="0"/>
        <v>0</v>
      </c>
      <c r="H24" s="11"/>
      <c r="I24" s="10"/>
      <c r="J24" s="32"/>
      <c r="K24" s="26">
        <f t="shared" si="1"/>
        <v>0</v>
      </c>
      <c r="L24" s="34"/>
      <c r="M24" s="10"/>
      <c r="N24" s="32"/>
      <c r="O24" s="26">
        <f t="shared" si="2"/>
        <v>0</v>
      </c>
      <c r="P24" s="11">
        <v>100</v>
      </c>
      <c r="Q24" s="10"/>
      <c r="R24" s="26"/>
      <c r="S24" s="26">
        <f t="shared" si="3"/>
        <v>100</v>
      </c>
      <c r="T24" s="9"/>
      <c r="U24" s="8"/>
      <c r="V24" s="32"/>
      <c r="W24" s="26">
        <f t="shared" si="4"/>
        <v>0</v>
      </c>
      <c r="X24" s="26"/>
      <c r="Y24" s="24"/>
      <c r="Z24" s="26"/>
      <c r="AA24" s="26">
        <f t="shared" si="5"/>
        <v>0</v>
      </c>
      <c r="AB24" s="171"/>
      <c r="AC24" s="171"/>
      <c r="AD24" s="171"/>
      <c r="AE24" s="26">
        <f t="shared" si="6"/>
        <v>0</v>
      </c>
      <c r="AF24" s="51">
        <v>728.14</v>
      </c>
      <c r="AG24" s="51">
        <f>728.14/2</f>
        <v>364.07</v>
      </c>
      <c r="AH24" s="51">
        <v>638.654</v>
      </c>
      <c r="AI24" s="207">
        <f t="shared" si="7"/>
        <v>175.42066086192216</v>
      </c>
      <c r="AJ24" s="227" t="s">
        <v>173</v>
      </c>
    </row>
    <row r="25" spans="1:36" ht="25.5">
      <c r="A25" s="195"/>
      <c r="B25" s="3" t="s">
        <v>235</v>
      </c>
      <c r="C25" s="3" t="s">
        <v>14</v>
      </c>
      <c r="D25" s="9"/>
      <c r="E25" s="8"/>
      <c r="F25" s="32"/>
      <c r="G25" s="26">
        <f t="shared" si="0"/>
        <v>0</v>
      </c>
      <c r="H25" s="11">
        <v>50</v>
      </c>
      <c r="I25" s="10"/>
      <c r="J25" s="32"/>
      <c r="K25" s="26">
        <f t="shared" si="1"/>
        <v>50</v>
      </c>
      <c r="L25" s="34"/>
      <c r="M25" s="10"/>
      <c r="N25" s="32"/>
      <c r="O25" s="26">
        <f t="shared" si="2"/>
        <v>0</v>
      </c>
      <c r="P25" s="11"/>
      <c r="Q25" s="10"/>
      <c r="R25" s="26"/>
      <c r="S25" s="26">
        <f t="shared" si="3"/>
        <v>0</v>
      </c>
      <c r="T25" s="9"/>
      <c r="U25" s="8"/>
      <c r="V25" s="32"/>
      <c r="W25" s="26">
        <f t="shared" si="4"/>
        <v>0</v>
      </c>
      <c r="X25" s="26"/>
      <c r="Y25" s="24"/>
      <c r="Z25" s="26"/>
      <c r="AA25" s="26">
        <f t="shared" si="5"/>
        <v>0</v>
      </c>
      <c r="AB25" s="171"/>
      <c r="AC25" s="171"/>
      <c r="AD25" s="171"/>
      <c r="AE25" s="26">
        <f t="shared" si="6"/>
        <v>0</v>
      </c>
      <c r="AF25" s="51">
        <v>1358.7</v>
      </c>
      <c r="AG25" s="51">
        <f>1358.7/2</f>
        <v>679.35</v>
      </c>
      <c r="AH25" s="51"/>
      <c r="AI25" s="207">
        <f t="shared" si="7"/>
        <v>0</v>
      </c>
      <c r="AJ25" s="227" t="s">
        <v>173</v>
      </c>
    </row>
    <row r="26" spans="1:36" ht="25.5">
      <c r="A26" s="195"/>
      <c r="B26" s="1" t="s">
        <v>230</v>
      </c>
      <c r="C26" s="3" t="s">
        <v>14</v>
      </c>
      <c r="D26" s="9"/>
      <c r="E26" s="8"/>
      <c r="F26" s="32"/>
      <c r="G26" s="26">
        <f t="shared" si="0"/>
        <v>0</v>
      </c>
      <c r="H26" s="6"/>
      <c r="I26" s="10"/>
      <c r="J26" s="32"/>
      <c r="K26" s="26">
        <f t="shared" si="1"/>
        <v>0</v>
      </c>
      <c r="L26" s="34"/>
      <c r="M26" s="10"/>
      <c r="N26" s="32"/>
      <c r="O26" s="26">
        <f t="shared" si="2"/>
        <v>0</v>
      </c>
      <c r="P26" s="11"/>
      <c r="Q26" s="10"/>
      <c r="R26" s="26"/>
      <c r="S26" s="26">
        <f t="shared" si="3"/>
        <v>0</v>
      </c>
      <c r="T26" s="9"/>
      <c r="U26" s="8"/>
      <c r="V26" s="32"/>
      <c r="W26" s="26">
        <f t="shared" si="4"/>
        <v>0</v>
      </c>
      <c r="X26" s="26"/>
      <c r="Y26" s="24"/>
      <c r="Z26" s="26"/>
      <c r="AA26" s="26">
        <f t="shared" si="5"/>
        <v>0</v>
      </c>
      <c r="AB26" s="171"/>
      <c r="AC26" s="171"/>
      <c r="AD26" s="171"/>
      <c r="AE26" s="26">
        <f t="shared" si="6"/>
        <v>0</v>
      </c>
      <c r="AF26" s="51">
        <v>141.86000000000001</v>
      </c>
      <c r="AG26" s="51">
        <f>141.86/2</f>
        <v>70.930000000000007</v>
      </c>
      <c r="AH26" s="51"/>
      <c r="AI26" s="207">
        <f t="shared" si="7"/>
        <v>0</v>
      </c>
      <c r="AJ26" s="227" t="s">
        <v>173</v>
      </c>
    </row>
    <row r="27" spans="1:36" ht="25.5">
      <c r="A27" s="195"/>
      <c r="B27" s="2" t="s">
        <v>236</v>
      </c>
      <c r="C27" s="3" t="s">
        <v>14</v>
      </c>
      <c r="D27" s="9"/>
      <c r="E27" s="8"/>
      <c r="F27" s="32"/>
      <c r="G27" s="26">
        <f t="shared" si="0"/>
        <v>0</v>
      </c>
      <c r="H27" s="11"/>
      <c r="I27" s="10"/>
      <c r="J27" s="32"/>
      <c r="K27" s="26">
        <f t="shared" si="1"/>
        <v>0</v>
      </c>
      <c r="L27" s="34"/>
      <c r="M27" s="10"/>
      <c r="N27" s="32"/>
      <c r="O27" s="26">
        <f t="shared" si="2"/>
        <v>0</v>
      </c>
      <c r="P27" s="11"/>
      <c r="Q27" s="10"/>
      <c r="R27" s="26"/>
      <c r="S27" s="26">
        <f t="shared" si="3"/>
        <v>0</v>
      </c>
      <c r="T27" s="9"/>
      <c r="U27" s="8"/>
      <c r="V27" s="32"/>
      <c r="W27" s="26">
        <f t="shared" si="4"/>
        <v>0</v>
      </c>
      <c r="X27" s="26"/>
      <c r="Y27" s="24"/>
      <c r="Z27" s="26"/>
      <c r="AA27" s="26">
        <f t="shared" si="5"/>
        <v>0</v>
      </c>
      <c r="AB27" s="171"/>
      <c r="AC27" s="171"/>
      <c r="AD27" s="171"/>
      <c r="AE27" s="26">
        <f t="shared" si="6"/>
        <v>0</v>
      </c>
      <c r="AF27" s="51">
        <v>178.5</v>
      </c>
      <c r="AG27" s="51">
        <f>178.5/2</f>
        <v>89.25</v>
      </c>
      <c r="AH27" s="51"/>
      <c r="AI27" s="207">
        <f t="shared" si="7"/>
        <v>0</v>
      </c>
      <c r="AJ27" s="227" t="s">
        <v>173</v>
      </c>
    </row>
    <row r="28" spans="1:36" ht="25.5">
      <c r="A28" s="198" t="s">
        <v>28</v>
      </c>
      <c r="B28" s="46" t="s">
        <v>29</v>
      </c>
      <c r="C28" s="3" t="s">
        <v>14</v>
      </c>
      <c r="D28" s="47" t="e">
        <f>SUM(D29)</f>
        <v>#REF!</v>
      </c>
      <c r="E28" s="48" t="e">
        <f>SUM(E29)</f>
        <v>#REF!</v>
      </c>
      <c r="F28" s="49"/>
      <c r="G28" s="26" t="e">
        <f t="shared" si="0"/>
        <v>#REF!</v>
      </c>
      <c r="H28" s="47" t="e">
        <f>H29</f>
        <v>#REF!</v>
      </c>
      <c r="I28" s="48" t="e">
        <f>SUM(I29)</f>
        <v>#REF!</v>
      </c>
      <c r="J28" s="49"/>
      <c r="K28" s="26" t="e">
        <f t="shared" si="1"/>
        <v>#REF!</v>
      </c>
      <c r="L28" s="47" t="e">
        <f>SUM(L29)</f>
        <v>#REF!</v>
      </c>
      <c r="M28" s="50" t="e">
        <f>M29</f>
        <v>#REF!</v>
      </c>
      <c r="N28" s="49"/>
      <c r="O28" s="26" t="e">
        <f t="shared" si="2"/>
        <v>#REF!</v>
      </c>
      <c r="P28" s="47" t="e">
        <f>P29</f>
        <v>#REF!</v>
      </c>
      <c r="Q28" s="48" t="e">
        <f>SUM(Q29)</f>
        <v>#REF!</v>
      </c>
      <c r="R28" s="26"/>
      <c r="S28" s="26" t="e">
        <f t="shared" si="3"/>
        <v>#REF!</v>
      </c>
      <c r="T28" s="47" t="e">
        <f>T29</f>
        <v>#REF!</v>
      </c>
      <c r="U28" s="50" t="e">
        <f>U29</f>
        <v>#REF!</v>
      </c>
      <c r="V28" s="49"/>
      <c r="W28" s="26" t="e">
        <f t="shared" si="4"/>
        <v>#REF!</v>
      </c>
      <c r="X28" s="47" t="e">
        <f>X29</f>
        <v>#REF!</v>
      </c>
      <c r="Y28" s="55" t="e">
        <f>SUM(Y29)</f>
        <v>#REF!</v>
      </c>
      <c r="Z28" s="26"/>
      <c r="AA28" s="26" t="e">
        <f t="shared" si="5"/>
        <v>#REF!</v>
      </c>
      <c r="AB28" s="47" t="e">
        <f>SUM(AB29)</f>
        <v>#REF!</v>
      </c>
      <c r="AC28" s="47" t="e">
        <f>SUM(AC29)</f>
        <v>#REF!</v>
      </c>
      <c r="AD28" s="171"/>
      <c r="AE28" s="26" t="e">
        <f t="shared" si="6"/>
        <v>#REF!</v>
      </c>
      <c r="AF28" s="26">
        <f>AF29</f>
        <v>60762.429999999993</v>
      </c>
      <c r="AG28" s="26">
        <f>AG29</f>
        <v>30381.214999999997</v>
      </c>
      <c r="AH28" s="26">
        <f>AH29</f>
        <v>23341.167200000004</v>
      </c>
      <c r="AI28" s="207">
        <f t="shared" si="7"/>
        <v>76.827629178095762</v>
      </c>
      <c r="AJ28" s="227" t="s">
        <v>173</v>
      </c>
    </row>
    <row r="29" spans="1:36" ht="25.5">
      <c r="A29" s="203">
        <v>6</v>
      </c>
      <c r="B29" s="204" t="s">
        <v>30</v>
      </c>
      <c r="C29" s="184" t="s">
        <v>14</v>
      </c>
      <c r="D29" s="185" t="e">
        <f>SUM(#REF!+#REF!+D33)</f>
        <v>#REF!</v>
      </c>
      <c r="E29" s="186" t="e">
        <f>SUM(E32+E39+#REF!+#REF!+E33+E35+#REF!)</f>
        <v>#REF!</v>
      </c>
      <c r="F29" s="187"/>
      <c r="G29" s="171" t="e">
        <f t="shared" si="0"/>
        <v>#REF!</v>
      </c>
      <c r="H29" s="185" t="e">
        <f>#REF!+#REF!+H33+#REF!</f>
        <v>#REF!</v>
      </c>
      <c r="I29" s="186" t="e">
        <f>SUM(I32+I38+I33+I39+#REF!+#REF!)</f>
        <v>#REF!</v>
      </c>
      <c r="J29" s="187"/>
      <c r="K29" s="171" t="e">
        <f t="shared" si="1"/>
        <v>#REF!</v>
      </c>
      <c r="L29" s="185" t="e">
        <f>SUM(#REF!+#REF!+L33)</f>
        <v>#REF!</v>
      </c>
      <c r="M29" s="189" t="e">
        <f>M32+M33+M39</f>
        <v>#REF!</v>
      </c>
      <c r="N29" s="187"/>
      <c r="O29" s="171" t="e">
        <f t="shared" si="2"/>
        <v>#REF!</v>
      </c>
      <c r="P29" s="185" t="e">
        <f>#REF!+P33+P32</f>
        <v>#REF!</v>
      </c>
      <c r="Q29" s="186" t="e">
        <f>SUM(Q32+#REF!+Q33+Q39)</f>
        <v>#REF!</v>
      </c>
      <c r="R29" s="171"/>
      <c r="S29" s="171" t="e">
        <f t="shared" si="3"/>
        <v>#REF!</v>
      </c>
      <c r="T29" s="185" t="e">
        <f>#REF!+T33</f>
        <v>#REF!</v>
      </c>
      <c r="U29" s="186" t="e">
        <f>U32+U33+U39+#REF!</f>
        <v>#REF!</v>
      </c>
      <c r="V29" s="187"/>
      <c r="W29" s="171" t="e">
        <f t="shared" si="4"/>
        <v>#REF!</v>
      </c>
      <c r="X29" s="205" t="e">
        <f>#REF!</f>
        <v>#REF!</v>
      </c>
      <c r="Y29" s="206" t="e">
        <f>SUM(Y32+Y33+Y39+#REF!)</f>
        <v>#REF!</v>
      </c>
      <c r="Z29" s="171"/>
      <c r="AA29" s="171" t="e">
        <f t="shared" si="5"/>
        <v>#REF!</v>
      </c>
      <c r="AB29" s="185" t="e">
        <f>SUM(#REF!+#REF!+AB33+AB42+AB44)</f>
        <v>#REF!</v>
      </c>
      <c r="AC29" s="185" t="e">
        <f>SUM(AC32+AC33+AC39)</f>
        <v>#REF!</v>
      </c>
      <c r="AD29" s="171"/>
      <c r="AE29" s="171" t="e">
        <f t="shared" si="6"/>
        <v>#REF!</v>
      </c>
      <c r="AF29" s="171">
        <f>SUM(AF30+AF31+AF32+AF33+AF38+AF39)</f>
        <v>60762.429999999993</v>
      </c>
      <c r="AG29" s="171">
        <f>SUM(AG30+AG31+AG32+AG33+AG38+AG39)</f>
        <v>30381.214999999997</v>
      </c>
      <c r="AH29" s="171">
        <f>SUM(AH30+AH31+AH32+AH33+AH38+AH39)</f>
        <v>23341.167200000004</v>
      </c>
      <c r="AI29" s="207">
        <f t="shared" si="7"/>
        <v>76.827629178095762</v>
      </c>
      <c r="AJ29" s="227" t="s">
        <v>173</v>
      </c>
    </row>
    <row r="30" spans="1:36" ht="25.5">
      <c r="A30" s="195">
        <v>6.2</v>
      </c>
      <c r="B30" s="5" t="s">
        <v>18</v>
      </c>
      <c r="C30" s="3" t="s">
        <v>14</v>
      </c>
      <c r="D30" s="9"/>
      <c r="E30" s="8"/>
      <c r="F30" s="32"/>
      <c r="G30" s="26">
        <f t="shared" si="0"/>
        <v>0</v>
      </c>
      <c r="H30" s="5"/>
      <c r="I30" s="10"/>
      <c r="J30" s="32"/>
      <c r="K30" s="26">
        <f t="shared" si="1"/>
        <v>0</v>
      </c>
      <c r="L30" s="9"/>
      <c r="M30" s="10"/>
      <c r="N30" s="32"/>
      <c r="O30" s="26">
        <f t="shared" si="2"/>
        <v>0</v>
      </c>
      <c r="P30" s="9"/>
      <c r="Q30" s="10"/>
      <c r="R30" s="26"/>
      <c r="S30" s="26">
        <f t="shared" si="3"/>
        <v>0</v>
      </c>
      <c r="T30" s="9"/>
      <c r="U30" s="8"/>
      <c r="V30" s="32"/>
      <c r="W30" s="26">
        <f t="shared" si="4"/>
        <v>0</v>
      </c>
      <c r="X30" s="26"/>
      <c r="Y30" s="24"/>
      <c r="Z30" s="26"/>
      <c r="AA30" s="26">
        <f t="shared" si="5"/>
        <v>0</v>
      </c>
      <c r="AB30" s="171"/>
      <c r="AC30" s="171"/>
      <c r="AD30" s="171"/>
      <c r="AE30" s="26">
        <f t="shared" si="6"/>
        <v>0</v>
      </c>
      <c r="AF30" s="51">
        <v>43539</v>
      </c>
      <c r="AG30" s="51">
        <f>43539/2</f>
        <v>21769.5</v>
      </c>
      <c r="AH30" s="51">
        <v>18082.558000000001</v>
      </c>
      <c r="AI30" s="207">
        <f t="shared" si="7"/>
        <v>83.063726773697141</v>
      </c>
      <c r="AJ30" s="227" t="s">
        <v>173</v>
      </c>
    </row>
    <row r="31" spans="1:36" ht="25.5">
      <c r="A31" s="195" t="s">
        <v>31</v>
      </c>
      <c r="B31" s="5" t="s">
        <v>19</v>
      </c>
      <c r="C31" s="3" t="s">
        <v>14</v>
      </c>
      <c r="D31" s="9"/>
      <c r="E31" s="8"/>
      <c r="F31" s="32"/>
      <c r="G31" s="26">
        <f t="shared" si="0"/>
        <v>0</v>
      </c>
      <c r="H31" s="6"/>
      <c r="I31" s="10"/>
      <c r="J31" s="32"/>
      <c r="K31" s="26">
        <f t="shared" si="1"/>
        <v>0</v>
      </c>
      <c r="L31" s="34"/>
      <c r="M31" s="10"/>
      <c r="N31" s="32"/>
      <c r="O31" s="26">
        <f t="shared" si="2"/>
        <v>0</v>
      </c>
      <c r="P31" s="11"/>
      <c r="Q31" s="10"/>
      <c r="R31" s="26"/>
      <c r="S31" s="26">
        <f t="shared" si="3"/>
        <v>0</v>
      </c>
      <c r="T31" s="9"/>
      <c r="U31" s="8"/>
      <c r="V31" s="32"/>
      <c r="W31" s="26">
        <f t="shared" si="4"/>
        <v>0</v>
      </c>
      <c r="X31" s="26"/>
      <c r="Y31" s="24"/>
      <c r="Z31" s="26"/>
      <c r="AA31" s="26">
        <f t="shared" si="5"/>
        <v>0</v>
      </c>
      <c r="AB31" s="171"/>
      <c r="AC31" s="171"/>
      <c r="AD31" s="171"/>
      <c r="AE31" s="26">
        <f t="shared" si="6"/>
        <v>0</v>
      </c>
      <c r="AF31" s="51">
        <v>4310.34</v>
      </c>
      <c r="AG31" s="51">
        <f>4310.34/2</f>
        <v>2155.17</v>
      </c>
      <c r="AH31" s="51">
        <v>1581.472</v>
      </c>
      <c r="AI31" s="207">
        <f t="shared" si="7"/>
        <v>73.380382986028934</v>
      </c>
      <c r="AJ31" s="227" t="s">
        <v>173</v>
      </c>
    </row>
    <row r="32" spans="1:36" ht="25.5">
      <c r="A32" s="195" t="s">
        <v>32</v>
      </c>
      <c r="B32" s="5" t="s">
        <v>227</v>
      </c>
      <c r="C32" s="3" t="s">
        <v>14</v>
      </c>
      <c r="D32" s="34"/>
      <c r="E32" s="180">
        <v>50.441000000000003</v>
      </c>
      <c r="F32" s="32"/>
      <c r="G32" s="26">
        <f t="shared" si="0"/>
        <v>-50.441000000000003</v>
      </c>
      <c r="H32" s="7"/>
      <c r="I32" s="178">
        <v>86.516000000000005</v>
      </c>
      <c r="J32" s="32"/>
      <c r="K32" s="26">
        <f t="shared" si="1"/>
        <v>-86.516000000000005</v>
      </c>
      <c r="L32" s="34"/>
      <c r="M32" s="178">
        <v>31.54</v>
      </c>
      <c r="N32" s="32"/>
      <c r="O32" s="26">
        <f t="shared" si="2"/>
        <v>-31.54</v>
      </c>
      <c r="P32" s="34">
        <v>120</v>
      </c>
      <c r="Q32" s="178">
        <v>49.9</v>
      </c>
      <c r="R32" s="26"/>
      <c r="S32" s="26">
        <f t="shared" si="3"/>
        <v>70.099999999999994</v>
      </c>
      <c r="T32" s="34"/>
      <c r="U32" s="180">
        <v>47.46</v>
      </c>
      <c r="V32" s="32"/>
      <c r="W32" s="26">
        <f t="shared" si="4"/>
        <v>-47.46</v>
      </c>
      <c r="X32" s="26">
        <v>38</v>
      </c>
      <c r="Y32" s="177">
        <v>9</v>
      </c>
      <c r="Z32" s="26"/>
      <c r="AA32" s="26">
        <f t="shared" si="5"/>
        <v>29</v>
      </c>
      <c r="AB32" s="171"/>
      <c r="AC32" s="182">
        <v>87.721000000000004</v>
      </c>
      <c r="AD32" s="171"/>
      <c r="AE32" s="26">
        <f t="shared" si="6"/>
        <v>-87.721000000000004</v>
      </c>
      <c r="AF32" s="51">
        <v>653.08000000000004</v>
      </c>
      <c r="AG32" s="51">
        <f>653.08/2</f>
        <v>326.54000000000002</v>
      </c>
      <c r="AH32" s="51">
        <v>279.18400000000003</v>
      </c>
      <c r="AI32" s="207">
        <f t="shared" si="7"/>
        <v>85.497641942794147</v>
      </c>
      <c r="AJ32" s="227" t="s">
        <v>173</v>
      </c>
    </row>
    <row r="33" spans="1:36" ht="25.5">
      <c r="A33" s="195">
        <v>6.9</v>
      </c>
      <c r="B33" s="1" t="s">
        <v>34</v>
      </c>
      <c r="C33" s="3" t="s">
        <v>14</v>
      </c>
      <c r="D33" s="9">
        <v>21.24</v>
      </c>
      <c r="E33" s="35"/>
      <c r="F33" s="32"/>
      <c r="G33" s="26">
        <f>D33-E33</f>
        <v>21.24</v>
      </c>
      <c r="H33" s="31">
        <v>228.9</v>
      </c>
      <c r="I33" s="38">
        <f>SUM(I34+I35)+I36</f>
        <v>248.577</v>
      </c>
      <c r="J33" s="32"/>
      <c r="K33" s="26">
        <f>H33-I33</f>
        <v>-19.676999999999992</v>
      </c>
      <c r="L33" s="34">
        <v>262.95999999999998</v>
      </c>
      <c r="M33" s="29">
        <f>M35+M34</f>
        <v>0</v>
      </c>
      <c r="N33" s="32"/>
      <c r="O33" s="26">
        <f>L33-M33</f>
        <v>262.95999999999998</v>
      </c>
      <c r="P33" s="11">
        <v>731</v>
      </c>
      <c r="Q33" s="141">
        <f>SUM(Q35)</f>
        <v>167.541</v>
      </c>
      <c r="R33" s="26"/>
      <c r="S33" s="26">
        <f>P33-Q33</f>
        <v>563.45900000000006</v>
      </c>
      <c r="T33" s="4">
        <v>103.98</v>
      </c>
      <c r="U33" s="27">
        <f>U35+U36</f>
        <v>8.1080000000000005</v>
      </c>
      <c r="V33" s="32"/>
      <c r="W33" s="26">
        <f>T33-U33</f>
        <v>95.872</v>
      </c>
      <c r="X33" s="26"/>
      <c r="Y33" s="27">
        <f>SUM(35:35+Y36)</f>
        <v>0.63300000000000001</v>
      </c>
      <c r="Z33" s="26"/>
      <c r="AA33" s="26">
        <f>X33-Y33</f>
        <v>-0.63300000000000001</v>
      </c>
      <c r="AB33" s="171">
        <f>AB34+AB35+AB36</f>
        <v>46.550000000000004</v>
      </c>
      <c r="AC33" s="182">
        <f>AC34+AC35+AC36</f>
        <v>371.80799999999999</v>
      </c>
      <c r="AD33" s="171"/>
      <c r="AE33" s="26">
        <f>AB33-AC33</f>
        <v>-325.25799999999998</v>
      </c>
      <c r="AF33" s="26">
        <f>AF34+AF35+AF36+AF37</f>
        <v>5557.1100000000006</v>
      </c>
      <c r="AG33" s="26">
        <f>AG34+AG35+AG36+AG37</f>
        <v>2778.5550000000003</v>
      </c>
      <c r="AH33" s="26">
        <f>AH34+AH35+AH36+AH37</f>
        <v>271.86700000000002</v>
      </c>
      <c r="AI33" s="207">
        <f t="shared" si="7"/>
        <v>9.7844743040897164</v>
      </c>
      <c r="AJ33" s="227" t="s">
        <v>173</v>
      </c>
    </row>
    <row r="34" spans="1:36" ht="25.5">
      <c r="A34" s="199">
        <v>6.1</v>
      </c>
      <c r="B34" s="5" t="s">
        <v>35</v>
      </c>
      <c r="C34" s="3" t="s">
        <v>14</v>
      </c>
      <c r="D34" s="9"/>
      <c r="E34" s="8"/>
      <c r="F34" s="32"/>
      <c r="G34" s="26">
        <f>D34-E34</f>
        <v>0</v>
      </c>
      <c r="H34" s="11">
        <v>7.9</v>
      </c>
      <c r="I34" s="10"/>
      <c r="J34" s="32"/>
      <c r="K34" s="26">
        <f>H34-I34</f>
        <v>7.9</v>
      </c>
      <c r="L34" s="34">
        <v>14.9</v>
      </c>
      <c r="M34" s="10"/>
      <c r="N34" s="32"/>
      <c r="O34" s="26">
        <f>L34-M34</f>
        <v>14.9</v>
      </c>
      <c r="P34" s="11"/>
      <c r="Q34" s="10"/>
      <c r="R34" s="26"/>
      <c r="S34" s="26">
        <f>P34-Q34</f>
        <v>0</v>
      </c>
      <c r="T34" s="9">
        <v>5.08</v>
      </c>
      <c r="U34" s="8"/>
      <c r="V34" s="32"/>
      <c r="W34" s="26">
        <f>T34-U34</f>
        <v>5.08</v>
      </c>
      <c r="X34" s="26"/>
      <c r="Y34" s="24"/>
      <c r="Z34" s="26"/>
      <c r="AA34" s="26">
        <f>X34-Y34</f>
        <v>0</v>
      </c>
      <c r="AB34" s="171">
        <v>5.2</v>
      </c>
      <c r="AC34" s="171"/>
      <c r="AD34" s="171"/>
      <c r="AE34" s="26">
        <f>AB34-AC34</f>
        <v>5.2</v>
      </c>
      <c r="AF34" s="51">
        <v>16.89</v>
      </c>
      <c r="AG34" s="51">
        <f>16.89/2</f>
        <v>8.4450000000000003</v>
      </c>
      <c r="AH34" s="51"/>
      <c r="AI34" s="207">
        <f t="shared" si="7"/>
        <v>0</v>
      </c>
      <c r="AJ34" s="227" t="s">
        <v>173</v>
      </c>
    </row>
    <row r="35" spans="1:36" ht="25.5">
      <c r="A35" s="195">
        <v>6.11</v>
      </c>
      <c r="B35" s="5" t="s">
        <v>36</v>
      </c>
      <c r="C35" s="3" t="s">
        <v>14</v>
      </c>
      <c r="D35" s="9">
        <v>4.84</v>
      </c>
      <c r="E35" s="180">
        <v>209.125</v>
      </c>
      <c r="F35" s="32"/>
      <c r="G35" s="26">
        <f>D35-E35</f>
        <v>-204.285</v>
      </c>
      <c r="H35" s="11">
        <v>207</v>
      </c>
      <c r="I35" s="178">
        <v>248.577</v>
      </c>
      <c r="J35" s="32"/>
      <c r="K35" s="26">
        <f>H35-I35</f>
        <v>-41.576999999999998</v>
      </c>
      <c r="L35" s="34">
        <v>243.26</v>
      </c>
      <c r="M35" s="10"/>
      <c r="N35" s="32"/>
      <c r="O35" s="26">
        <f>L35-M35</f>
        <v>243.26</v>
      </c>
      <c r="P35" s="11"/>
      <c r="Q35" s="178">
        <v>167.541</v>
      </c>
      <c r="R35" s="26"/>
      <c r="S35" s="26">
        <f>P35-Q35</f>
        <v>-167.541</v>
      </c>
      <c r="T35" s="9">
        <v>93.4</v>
      </c>
      <c r="U35" s="8"/>
      <c r="V35" s="32"/>
      <c r="W35" s="26">
        <f>T35-U35</f>
        <v>93.4</v>
      </c>
      <c r="X35" s="26"/>
      <c r="Y35" s="183">
        <v>0.63300000000000001</v>
      </c>
      <c r="Z35" s="26"/>
      <c r="AA35" s="26">
        <f>X35-Y35</f>
        <v>-0.63300000000000001</v>
      </c>
      <c r="AB35" s="171">
        <v>36.65</v>
      </c>
      <c r="AC35" s="182">
        <v>358.63200000000001</v>
      </c>
      <c r="AD35" s="171"/>
      <c r="AE35" s="26">
        <f>AB35-AC35</f>
        <v>-321.98200000000003</v>
      </c>
      <c r="AF35" s="51">
        <v>5481</v>
      </c>
      <c r="AG35" s="51">
        <f>5481/2</f>
        <v>2740.5</v>
      </c>
      <c r="AH35" s="51">
        <v>265.78399999999999</v>
      </c>
      <c r="AI35" s="207">
        <f t="shared" si="7"/>
        <v>9.6983762087210366</v>
      </c>
      <c r="AJ35" s="227" t="s">
        <v>173</v>
      </c>
    </row>
    <row r="36" spans="1:36" ht="25.5">
      <c r="A36" s="195">
        <v>6.12</v>
      </c>
      <c r="B36" s="5" t="s">
        <v>37</v>
      </c>
      <c r="C36" s="3" t="s">
        <v>14</v>
      </c>
      <c r="D36" s="9">
        <v>16.399999999999999</v>
      </c>
      <c r="E36" s="8"/>
      <c r="F36" s="32"/>
      <c r="G36" s="26">
        <f>D36-E36</f>
        <v>16.399999999999999</v>
      </c>
      <c r="H36" s="11">
        <v>14</v>
      </c>
      <c r="I36" s="10"/>
      <c r="J36" s="32"/>
      <c r="K36" s="26">
        <f>H36-I36</f>
        <v>14</v>
      </c>
      <c r="L36" s="34">
        <v>4.8</v>
      </c>
      <c r="M36" s="10"/>
      <c r="N36" s="32"/>
      <c r="O36" s="26">
        <f>L36-M36</f>
        <v>4.8</v>
      </c>
      <c r="P36" s="11"/>
      <c r="Q36" s="10"/>
      <c r="R36" s="26"/>
      <c r="S36" s="26">
        <f>P36-Q36</f>
        <v>0</v>
      </c>
      <c r="T36" s="9">
        <v>5.5</v>
      </c>
      <c r="U36" s="180">
        <v>8.1080000000000005</v>
      </c>
      <c r="V36" s="32"/>
      <c r="W36" s="26">
        <f>T36-U36</f>
        <v>-2.6080000000000005</v>
      </c>
      <c r="X36" s="26"/>
      <c r="Y36" s="24"/>
      <c r="Z36" s="26"/>
      <c r="AA36" s="26">
        <f>X36-Y36</f>
        <v>0</v>
      </c>
      <c r="AB36" s="171">
        <v>4.7</v>
      </c>
      <c r="AC36" s="182">
        <v>13.176</v>
      </c>
      <c r="AD36" s="171"/>
      <c r="AE36" s="26">
        <f>AB36-AC36</f>
        <v>-8.4759999999999991</v>
      </c>
      <c r="AF36" s="51">
        <v>14.06</v>
      </c>
      <c r="AG36" s="51">
        <f>14.06/2</f>
        <v>7.03</v>
      </c>
      <c r="AH36" s="51">
        <v>6.0830000000000002</v>
      </c>
      <c r="AI36" s="207">
        <f t="shared" si="7"/>
        <v>86.529160739687043</v>
      </c>
      <c r="AJ36" s="227" t="s">
        <v>173</v>
      </c>
    </row>
    <row r="37" spans="1:36" ht="25.5">
      <c r="A37" s="201"/>
      <c r="B37" s="210" t="s">
        <v>244</v>
      </c>
      <c r="C37" s="3" t="s">
        <v>14</v>
      </c>
      <c r="D37" s="185"/>
      <c r="E37" s="186"/>
      <c r="F37" s="187"/>
      <c r="G37" s="171"/>
      <c r="H37" s="211"/>
      <c r="I37" s="189"/>
      <c r="J37" s="187"/>
      <c r="K37" s="171"/>
      <c r="L37" s="190"/>
      <c r="M37" s="189"/>
      <c r="N37" s="187"/>
      <c r="O37" s="171"/>
      <c r="P37" s="211"/>
      <c r="Q37" s="189"/>
      <c r="R37" s="171"/>
      <c r="S37" s="171"/>
      <c r="T37" s="185"/>
      <c r="U37" s="192"/>
      <c r="V37" s="187"/>
      <c r="W37" s="171"/>
      <c r="X37" s="171"/>
      <c r="Y37" s="191"/>
      <c r="Z37" s="171"/>
      <c r="AA37" s="171"/>
      <c r="AB37" s="171"/>
      <c r="AC37" s="182"/>
      <c r="AD37" s="171"/>
      <c r="AE37" s="171"/>
      <c r="AF37" s="202">
        <v>45.16</v>
      </c>
      <c r="AG37" s="202">
        <f>45.16/2</f>
        <v>22.58</v>
      </c>
      <c r="AH37" s="202"/>
      <c r="AI37" s="207">
        <f t="shared" si="7"/>
        <v>0</v>
      </c>
      <c r="AJ37" s="227" t="s">
        <v>173</v>
      </c>
    </row>
    <row r="38" spans="1:36" ht="25.5">
      <c r="A38" s="195">
        <v>6.6</v>
      </c>
      <c r="B38" s="1" t="s">
        <v>25</v>
      </c>
      <c r="C38" s="3" t="s">
        <v>14</v>
      </c>
      <c r="D38" s="9"/>
      <c r="E38" s="8"/>
      <c r="F38" s="32"/>
      <c r="G38" s="26">
        <f t="shared" si="0"/>
        <v>0</v>
      </c>
      <c r="H38" s="32"/>
      <c r="I38" s="178">
        <v>144.63999999999999</v>
      </c>
      <c r="J38" s="32"/>
      <c r="K38" s="26">
        <f t="shared" si="1"/>
        <v>-144.63999999999999</v>
      </c>
      <c r="L38" s="34"/>
      <c r="M38" s="10"/>
      <c r="N38" s="32"/>
      <c r="O38" s="26">
        <f t="shared" si="2"/>
        <v>0</v>
      </c>
      <c r="P38" s="11"/>
      <c r="Q38" s="10"/>
      <c r="R38" s="26"/>
      <c r="S38" s="26">
        <f t="shared" si="3"/>
        <v>0</v>
      </c>
      <c r="T38" s="9"/>
      <c r="U38" s="8"/>
      <c r="V38" s="32"/>
      <c r="W38" s="26">
        <f t="shared" si="4"/>
        <v>0</v>
      </c>
      <c r="X38" s="26"/>
      <c r="Y38" s="24"/>
      <c r="Z38" s="26"/>
      <c r="AA38" s="26">
        <f t="shared" si="5"/>
        <v>0</v>
      </c>
      <c r="AB38" s="171"/>
      <c r="AC38" s="171"/>
      <c r="AD38" s="171"/>
      <c r="AE38" s="26">
        <f t="shared" si="6"/>
        <v>0</v>
      </c>
      <c r="AF38" s="26">
        <v>844.2</v>
      </c>
      <c r="AG38" s="26">
        <f>844.2/2</f>
        <v>422.1</v>
      </c>
      <c r="AH38" s="51">
        <v>250</v>
      </c>
      <c r="AI38" s="207">
        <f t="shared" si="7"/>
        <v>59.227671167969675</v>
      </c>
      <c r="AJ38" s="227" t="s">
        <v>173</v>
      </c>
    </row>
    <row r="39" spans="1:36" ht="25.5">
      <c r="A39" s="200">
        <v>6.11</v>
      </c>
      <c r="B39" s="2" t="s">
        <v>38</v>
      </c>
      <c r="C39" s="3" t="s">
        <v>14</v>
      </c>
      <c r="D39" s="4"/>
      <c r="E39" s="27" t="e">
        <f>SUM(#REF!+E48+E47+E50)</f>
        <v>#REF!</v>
      </c>
      <c r="F39" s="28"/>
      <c r="G39" s="26" t="e">
        <f t="shared" si="0"/>
        <v>#REF!</v>
      </c>
      <c r="H39" s="1">
        <v>0</v>
      </c>
      <c r="I39" s="29" t="e">
        <f>I47+#REF!+I42+I48+I50</f>
        <v>#REF!</v>
      </c>
      <c r="J39" s="28"/>
      <c r="K39" s="26" t="e">
        <f t="shared" si="1"/>
        <v>#REF!</v>
      </c>
      <c r="L39" s="4">
        <v>0</v>
      </c>
      <c r="M39" s="29" t="e">
        <f>M47+#REF!+#REF!+M49+#REF!+M50</f>
        <v>#REF!</v>
      </c>
      <c r="N39" s="28"/>
      <c r="O39" s="26" t="e">
        <f t="shared" si="2"/>
        <v>#REF!</v>
      </c>
      <c r="P39" s="1">
        <v>4820.75</v>
      </c>
      <c r="Q39" s="38" t="e">
        <f>#REF!+Q47+Q48+Q50+#REF!</f>
        <v>#REF!</v>
      </c>
      <c r="R39" s="26"/>
      <c r="S39" s="26" t="e">
        <f t="shared" si="3"/>
        <v>#REF!</v>
      </c>
      <c r="T39" s="4">
        <v>0</v>
      </c>
      <c r="U39" s="27" t="e">
        <f>U42+U49+#REF!+#REF!+U47+U50+#REF!+U48</f>
        <v>#REF!</v>
      </c>
      <c r="V39" s="28"/>
      <c r="W39" s="26" t="e">
        <f t="shared" si="4"/>
        <v>#REF!</v>
      </c>
      <c r="X39" s="4">
        <v>0</v>
      </c>
      <c r="Y39" s="27" t="e">
        <f>Y47+Y49+Y50+#REF!+#REF!</f>
        <v>#REF!</v>
      </c>
      <c r="Z39" s="26"/>
      <c r="AA39" s="26" t="e">
        <f t="shared" si="5"/>
        <v>#REF!</v>
      </c>
      <c r="AB39" s="171">
        <f>AB42+AB44</f>
        <v>1481.16</v>
      </c>
      <c r="AC39" s="171" t="e">
        <f>AC42+AC44+AC50+#REF!+#REF!+AC47+AC49+#REF!+AC40</f>
        <v>#REF!</v>
      </c>
      <c r="AD39" s="171"/>
      <c r="AE39" s="26" t="e">
        <f t="shared" si="6"/>
        <v>#REF!</v>
      </c>
      <c r="AF39" s="26">
        <f>AF40+AF41+AF42+AF43+AF44+AF45+AF46+AF47+AF50</f>
        <v>5858.7000000000007</v>
      </c>
      <c r="AG39" s="26">
        <f>AG40+AG41+AG42+AG43+AG44+AG45+AG46+AG47+AG50</f>
        <v>2929.3500000000004</v>
      </c>
      <c r="AH39" s="26">
        <f>AH40+AH41+AH42+AH43+AH44+AH45+AH46+AH47+AH50</f>
        <v>2876.0861999999997</v>
      </c>
      <c r="AI39" s="207">
        <f t="shared" si="7"/>
        <v>98.181719494085698</v>
      </c>
      <c r="AJ39" s="227" t="s">
        <v>173</v>
      </c>
    </row>
    <row r="40" spans="1:36" ht="25.5">
      <c r="A40" s="195"/>
      <c r="B40" s="3" t="s">
        <v>230</v>
      </c>
      <c r="C40" s="3" t="s">
        <v>14</v>
      </c>
      <c r="D40" s="9"/>
      <c r="E40" s="8"/>
      <c r="F40" s="32"/>
      <c r="G40" s="26">
        <f t="shared" si="0"/>
        <v>0</v>
      </c>
      <c r="H40" s="6">
        <v>0</v>
      </c>
      <c r="I40" s="10"/>
      <c r="J40" s="32"/>
      <c r="K40" s="26">
        <f t="shared" si="1"/>
        <v>0</v>
      </c>
      <c r="L40" s="34"/>
      <c r="M40" s="10"/>
      <c r="N40" s="32"/>
      <c r="O40" s="26">
        <f t="shared" si="2"/>
        <v>0</v>
      </c>
      <c r="P40" s="6"/>
      <c r="Q40" s="10"/>
      <c r="R40" s="26"/>
      <c r="S40" s="26">
        <f t="shared" si="3"/>
        <v>0</v>
      </c>
      <c r="T40" s="9"/>
      <c r="U40" s="8"/>
      <c r="V40" s="32"/>
      <c r="W40" s="26">
        <f t="shared" si="4"/>
        <v>0</v>
      </c>
      <c r="X40" s="26"/>
      <c r="Y40" s="24"/>
      <c r="Z40" s="26"/>
      <c r="AA40" s="26">
        <f t="shared" si="5"/>
        <v>0</v>
      </c>
      <c r="AB40" s="171"/>
      <c r="AC40" s="182">
        <v>4.6660000000000004</v>
      </c>
      <c r="AD40" s="171"/>
      <c r="AE40" s="26">
        <f t="shared" si="6"/>
        <v>-4.6660000000000004</v>
      </c>
      <c r="AF40" s="51">
        <v>281.25</v>
      </c>
      <c r="AG40" s="51">
        <f>281.25/2</f>
        <v>140.625</v>
      </c>
      <c r="AH40" s="51">
        <v>238.9622</v>
      </c>
      <c r="AI40" s="207">
        <f t="shared" si="7"/>
        <v>169.92867555555554</v>
      </c>
      <c r="AJ40" s="227" t="s">
        <v>173</v>
      </c>
    </row>
    <row r="41" spans="1:36" ht="25.5">
      <c r="A41" s="201"/>
      <c r="B41" s="179" t="s">
        <v>237</v>
      </c>
      <c r="C41" s="3" t="s">
        <v>14</v>
      </c>
      <c r="D41" s="185"/>
      <c r="E41" s="186"/>
      <c r="F41" s="187"/>
      <c r="G41" s="171"/>
      <c r="H41" s="188"/>
      <c r="I41" s="189"/>
      <c r="J41" s="187"/>
      <c r="K41" s="171"/>
      <c r="L41" s="190"/>
      <c r="M41" s="189"/>
      <c r="N41" s="187"/>
      <c r="O41" s="171"/>
      <c r="P41" s="188"/>
      <c r="Q41" s="189"/>
      <c r="R41" s="171"/>
      <c r="S41" s="171"/>
      <c r="T41" s="185"/>
      <c r="U41" s="186"/>
      <c r="V41" s="187"/>
      <c r="W41" s="171"/>
      <c r="X41" s="171"/>
      <c r="Y41" s="191"/>
      <c r="Z41" s="171"/>
      <c r="AA41" s="171"/>
      <c r="AB41" s="171"/>
      <c r="AC41" s="182"/>
      <c r="AD41" s="171"/>
      <c r="AE41" s="171"/>
      <c r="AF41" s="202">
        <v>905.99</v>
      </c>
      <c r="AG41" s="202">
        <f>905.99/2</f>
        <v>452.995</v>
      </c>
      <c r="AH41" s="202">
        <v>94.051000000000002</v>
      </c>
      <c r="AI41" s="207">
        <f t="shared" si="7"/>
        <v>20.762039316107241</v>
      </c>
      <c r="AJ41" s="227" t="s">
        <v>173</v>
      </c>
    </row>
    <row r="42" spans="1:36" ht="25.5">
      <c r="A42" s="195"/>
      <c r="B42" s="3" t="s">
        <v>39</v>
      </c>
      <c r="C42" s="3" t="s">
        <v>14</v>
      </c>
      <c r="D42" s="9"/>
      <c r="E42" s="8"/>
      <c r="F42" s="32"/>
      <c r="G42" s="26">
        <f t="shared" si="0"/>
        <v>0</v>
      </c>
      <c r="H42" s="6"/>
      <c r="I42" s="10"/>
      <c r="J42" s="32"/>
      <c r="K42" s="26">
        <f t="shared" si="1"/>
        <v>0</v>
      </c>
      <c r="L42" s="34"/>
      <c r="M42" s="10"/>
      <c r="N42" s="32"/>
      <c r="O42" s="26">
        <f t="shared" si="2"/>
        <v>0</v>
      </c>
      <c r="P42" s="6"/>
      <c r="Q42" s="10"/>
      <c r="R42" s="26"/>
      <c r="S42" s="26">
        <f t="shared" si="3"/>
        <v>0</v>
      </c>
      <c r="T42" s="9"/>
      <c r="U42" s="180">
        <v>1.3460000000000001</v>
      </c>
      <c r="V42" s="32"/>
      <c r="W42" s="26">
        <f t="shared" si="4"/>
        <v>-1.3460000000000001</v>
      </c>
      <c r="X42" s="26"/>
      <c r="Y42" s="24"/>
      <c r="Z42" s="26"/>
      <c r="AA42" s="26">
        <f t="shared" si="5"/>
        <v>0</v>
      </c>
      <c r="AB42" s="171">
        <v>46</v>
      </c>
      <c r="AC42" s="182">
        <v>3.371</v>
      </c>
      <c r="AD42" s="171"/>
      <c r="AE42" s="26">
        <f t="shared" si="6"/>
        <v>42.628999999999998</v>
      </c>
      <c r="AF42" s="51">
        <v>215.97</v>
      </c>
      <c r="AG42" s="51">
        <f>215.97/2</f>
        <v>107.985</v>
      </c>
      <c r="AH42" s="51">
        <v>107</v>
      </c>
      <c r="AI42" s="207">
        <f t="shared" si="7"/>
        <v>99.087836273556519</v>
      </c>
      <c r="AJ42" s="227" t="s">
        <v>173</v>
      </c>
    </row>
    <row r="43" spans="1:36" ht="25.5">
      <c r="A43" s="201"/>
      <c r="B43" s="184" t="s">
        <v>207</v>
      </c>
      <c r="C43" s="3" t="s">
        <v>14</v>
      </c>
      <c r="D43" s="185"/>
      <c r="E43" s="186"/>
      <c r="F43" s="187"/>
      <c r="G43" s="171"/>
      <c r="H43" s="188"/>
      <c r="I43" s="189"/>
      <c r="J43" s="187"/>
      <c r="K43" s="171"/>
      <c r="L43" s="190"/>
      <c r="M43" s="189"/>
      <c r="N43" s="187"/>
      <c r="O43" s="171"/>
      <c r="P43" s="188"/>
      <c r="Q43" s="189"/>
      <c r="R43" s="171"/>
      <c r="S43" s="171"/>
      <c r="T43" s="185"/>
      <c r="U43" s="192"/>
      <c r="V43" s="187"/>
      <c r="W43" s="171"/>
      <c r="X43" s="171"/>
      <c r="Y43" s="191"/>
      <c r="Z43" s="171"/>
      <c r="AA43" s="171"/>
      <c r="AB43" s="171"/>
      <c r="AC43" s="182"/>
      <c r="AD43" s="171"/>
      <c r="AE43" s="171"/>
      <c r="AF43" s="202">
        <v>70.69</v>
      </c>
      <c r="AG43" s="202">
        <f>70.69/2</f>
        <v>35.344999999999999</v>
      </c>
      <c r="AH43" s="202"/>
      <c r="AI43" s="207">
        <f t="shared" si="7"/>
        <v>0</v>
      </c>
      <c r="AJ43" s="227" t="s">
        <v>173</v>
      </c>
    </row>
    <row r="44" spans="1:36" ht="25.5">
      <c r="A44" s="195"/>
      <c r="B44" s="5" t="s">
        <v>238</v>
      </c>
      <c r="C44" s="3" t="s">
        <v>14</v>
      </c>
      <c r="D44" s="9"/>
      <c r="E44" s="8"/>
      <c r="F44" s="32"/>
      <c r="G44" s="26">
        <f t="shared" si="0"/>
        <v>0</v>
      </c>
      <c r="H44" s="6"/>
      <c r="I44" s="10"/>
      <c r="J44" s="32"/>
      <c r="K44" s="26">
        <f t="shared" si="1"/>
        <v>0</v>
      </c>
      <c r="L44" s="34"/>
      <c r="M44" s="10"/>
      <c r="N44" s="32"/>
      <c r="O44" s="26">
        <f t="shared" si="2"/>
        <v>0</v>
      </c>
      <c r="P44" s="6"/>
      <c r="Q44" s="10"/>
      <c r="R44" s="26"/>
      <c r="S44" s="26">
        <f t="shared" si="3"/>
        <v>0</v>
      </c>
      <c r="T44" s="9"/>
      <c r="U44" s="8"/>
      <c r="V44" s="32"/>
      <c r="W44" s="26">
        <f t="shared" si="4"/>
        <v>0</v>
      </c>
      <c r="X44" s="26"/>
      <c r="Y44" s="24"/>
      <c r="Z44" s="26"/>
      <c r="AA44" s="26">
        <f t="shared" si="5"/>
        <v>0</v>
      </c>
      <c r="AB44" s="171">
        <v>1435.16</v>
      </c>
      <c r="AC44" s="171"/>
      <c r="AD44" s="171"/>
      <c r="AE44" s="26">
        <f t="shared" si="6"/>
        <v>1435.16</v>
      </c>
      <c r="AF44" s="51">
        <v>110.63</v>
      </c>
      <c r="AG44" s="51">
        <f>110.63/2</f>
        <v>55.314999999999998</v>
      </c>
      <c r="AH44" s="51">
        <v>36.945</v>
      </c>
      <c r="AI44" s="207">
        <f t="shared" si="7"/>
        <v>66.790201572810275</v>
      </c>
      <c r="AJ44" s="227" t="s">
        <v>173</v>
      </c>
    </row>
    <row r="45" spans="1:36" ht="25.5">
      <c r="A45" s="201"/>
      <c r="B45" s="147" t="s">
        <v>239</v>
      </c>
      <c r="C45" s="3" t="s">
        <v>14</v>
      </c>
      <c r="D45" s="185"/>
      <c r="E45" s="186"/>
      <c r="F45" s="187"/>
      <c r="G45" s="171"/>
      <c r="H45" s="188"/>
      <c r="I45" s="189"/>
      <c r="J45" s="187"/>
      <c r="K45" s="171"/>
      <c r="L45" s="190"/>
      <c r="M45" s="189"/>
      <c r="N45" s="187"/>
      <c r="O45" s="171"/>
      <c r="P45" s="188"/>
      <c r="Q45" s="189"/>
      <c r="R45" s="171"/>
      <c r="S45" s="171"/>
      <c r="T45" s="185"/>
      <c r="U45" s="186"/>
      <c r="V45" s="187"/>
      <c r="W45" s="171"/>
      <c r="X45" s="171"/>
      <c r="Y45" s="191"/>
      <c r="Z45" s="171"/>
      <c r="AA45" s="171"/>
      <c r="AB45" s="171"/>
      <c r="AC45" s="171"/>
      <c r="AD45" s="171"/>
      <c r="AE45" s="171"/>
      <c r="AF45" s="202">
        <v>35.619999999999997</v>
      </c>
      <c r="AG45" s="202">
        <f>35.62/2</f>
        <v>17.809999999999999</v>
      </c>
      <c r="AH45" s="202"/>
      <c r="AI45" s="207">
        <f t="shared" si="7"/>
        <v>0</v>
      </c>
      <c r="AJ45" s="227" t="s">
        <v>173</v>
      </c>
    </row>
    <row r="46" spans="1:36" ht="25.5">
      <c r="A46" s="201"/>
      <c r="B46" s="147" t="s">
        <v>213</v>
      </c>
      <c r="C46" s="3" t="s">
        <v>14</v>
      </c>
      <c r="D46" s="185"/>
      <c r="E46" s="186"/>
      <c r="F46" s="187"/>
      <c r="G46" s="171"/>
      <c r="H46" s="188"/>
      <c r="I46" s="189"/>
      <c r="J46" s="187"/>
      <c r="K46" s="171"/>
      <c r="L46" s="190"/>
      <c r="M46" s="189"/>
      <c r="N46" s="187"/>
      <c r="O46" s="171"/>
      <c r="P46" s="188"/>
      <c r="Q46" s="189"/>
      <c r="R46" s="171"/>
      <c r="S46" s="171"/>
      <c r="T46" s="185"/>
      <c r="U46" s="186"/>
      <c r="V46" s="187"/>
      <c r="W46" s="171"/>
      <c r="X46" s="171"/>
      <c r="Y46" s="191"/>
      <c r="Z46" s="171"/>
      <c r="AA46" s="171"/>
      <c r="AB46" s="171"/>
      <c r="AC46" s="171"/>
      <c r="AD46" s="171"/>
      <c r="AE46" s="171"/>
      <c r="AF46" s="202">
        <v>83.16</v>
      </c>
      <c r="AG46" s="202">
        <f>83.16/2</f>
        <v>41.58</v>
      </c>
      <c r="AH46" s="202">
        <v>60</v>
      </c>
      <c r="AI46" s="207">
        <f t="shared" si="7"/>
        <v>144.3001443001443</v>
      </c>
      <c r="AJ46" s="227" t="s">
        <v>173</v>
      </c>
    </row>
    <row r="47" spans="1:36" ht="25.5">
      <c r="A47" s="195"/>
      <c r="B47" s="2" t="s">
        <v>240</v>
      </c>
      <c r="C47" s="3" t="s">
        <v>14</v>
      </c>
      <c r="D47" s="9"/>
      <c r="E47" s="180">
        <v>5.5</v>
      </c>
      <c r="F47" s="32"/>
      <c r="G47" s="26">
        <f t="shared" si="0"/>
        <v>-5.5</v>
      </c>
      <c r="H47" s="6"/>
      <c r="I47" s="178">
        <v>5.5</v>
      </c>
      <c r="J47" s="32"/>
      <c r="K47" s="26">
        <f t="shared" si="1"/>
        <v>-5.5</v>
      </c>
      <c r="L47" s="34"/>
      <c r="M47" s="178">
        <v>5.5</v>
      </c>
      <c r="N47" s="32"/>
      <c r="O47" s="26">
        <f t="shared" si="2"/>
        <v>-5.5</v>
      </c>
      <c r="P47" s="6"/>
      <c r="Q47" s="178">
        <v>5.5</v>
      </c>
      <c r="R47" s="26"/>
      <c r="S47" s="26">
        <f t="shared" si="3"/>
        <v>-5.5</v>
      </c>
      <c r="T47" s="9"/>
      <c r="U47" s="180">
        <v>5.5</v>
      </c>
      <c r="V47" s="32"/>
      <c r="W47" s="26">
        <f t="shared" si="4"/>
        <v>-5.5</v>
      </c>
      <c r="X47" s="26"/>
      <c r="Y47" s="24"/>
      <c r="Z47" s="26"/>
      <c r="AA47" s="26">
        <f t="shared" si="5"/>
        <v>0</v>
      </c>
      <c r="AB47" s="171"/>
      <c r="AC47" s="171"/>
      <c r="AD47" s="171"/>
      <c r="AE47" s="26">
        <f t="shared" si="6"/>
        <v>0</v>
      </c>
      <c r="AF47" s="26">
        <f>AF48+AF49</f>
        <v>991.3900000000001</v>
      </c>
      <c r="AG47" s="26">
        <f>AG48+AG49</f>
        <v>495.69500000000005</v>
      </c>
      <c r="AH47" s="26">
        <f>AH48+AH49</f>
        <v>757.12799999999993</v>
      </c>
      <c r="AI47" s="207">
        <f t="shared" si="7"/>
        <v>152.74069740465404</v>
      </c>
      <c r="AJ47" s="227" t="s">
        <v>173</v>
      </c>
    </row>
    <row r="48" spans="1:36" ht="25.5">
      <c r="A48" s="195"/>
      <c r="B48" s="5" t="s">
        <v>241</v>
      </c>
      <c r="C48" s="3" t="s">
        <v>14</v>
      </c>
      <c r="D48" s="9"/>
      <c r="E48" s="180">
        <v>17.129000000000001</v>
      </c>
      <c r="F48" s="32"/>
      <c r="G48" s="26">
        <f t="shared" si="0"/>
        <v>-17.129000000000001</v>
      </c>
      <c r="H48" s="6"/>
      <c r="I48" s="10"/>
      <c r="J48" s="32"/>
      <c r="K48" s="26">
        <f t="shared" si="1"/>
        <v>0</v>
      </c>
      <c r="L48" s="34"/>
      <c r="M48" s="10"/>
      <c r="N48" s="32"/>
      <c r="O48" s="26">
        <f t="shared" si="2"/>
        <v>0</v>
      </c>
      <c r="P48" s="6"/>
      <c r="Q48" s="178">
        <v>19.184000000000001</v>
      </c>
      <c r="R48" s="26"/>
      <c r="S48" s="26">
        <f t="shared" si="3"/>
        <v>-19.184000000000001</v>
      </c>
      <c r="T48" s="9"/>
      <c r="U48" s="180">
        <v>17.984999999999999</v>
      </c>
      <c r="V48" s="32"/>
      <c r="W48" s="26">
        <f t="shared" si="4"/>
        <v>-17.984999999999999</v>
      </c>
      <c r="X48" s="26"/>
      <c r="Y48" s="24"/>
      <c r="Z48" s="26"/>
      <c r="AA48" s="26">
        <f t="shared" si="5"/>
        <v>0</v>
      </c>
      <c r="AB48" s="171"/>
      <c r="AC48" s="171"/>
      <c r="AD48" s="171"/>
      <c r="AE48" s="26">
        <f t="shared" si="6"/>
        <v>0</v>
      </c>
      <c r="AF48" s="51">
        <v>656.34</v>
      </c>
      <c r="AG48" s="51">
        <f>656.34/2</f>
        <v>328.17</v>
      </c>
      <c r="AH48" s="51">
        <v>143.006</v>
      </c>
      <c r="AI48" s="207">
        <f t="shared" si="7"/>
        <v>43.576804704878569</v>
      </c>
      <c r="AJ48" s="227" t="s">
        <v>173</v>
      </c>
    </row>
    <row r="49" spans="1:36" ht="25.5">
      <c r="A49" s="195"/>
      <c r="B49" s="5" t="s">
        <v>242</v>
      </c>
      <c r="C49" s="3" t="s">
        <v>14</v>
      </c>
      <c r="D49" s="9"/>
      <c r="E49" s="8"/>
      <c r="F49" s="32"/>
      <c r="G49" s="26">
        <f t="shared" si="0"/>
        <v>0</v>
      </c>
      <c r="H49" s="6"/>
      <c r="I49" s="10"/>
      <c r="J49" s="32"/>
      <c r="K49" s="26">
        <f t="shared" si="1"/>
        <v>0</v>
      </c>
      <c r="L49" s="34"/>
      <c r="M49" s="178">
        <v>0.4</v>
      </c>
      <c r="N49" s="32"/>
      <c r="O49" s="26">
        <f t="shared" si="2"/>
        <v>-0.4</v>
      </c>
      <c r="P49" s="6"/>
      <c r="Q49" s="10"/>
      <c r="R49" s="26"/>
      <c r="S49" s="26">
        <f t="shared" si="3"/>
        <v>0</v>
      </c>
      <c r="T49" s="9"/>
      <c r="U49" s="8"/>
      <c r="V49" s="32"/>
      <c r="W49" s="26">
        <f t="shared" si="4"/>
        <v>0</v>
      </c>
      <c r="X49" s="26"/>
      <c r="Y49" s="177">
        <v>61.011000000000003</v>
      </c>
      <c r="Z49" s="26"/>
      <c r="AA49" s="26">
        <f t="shared" si="5"/>
        <v>-61.011000000000003</v>
      </c>
      <c r="AB49" s="171"/>
      <c r="AC49" s="182">
        <v>7.3280000000000003</v>
      </c>
      <c r="AD49" s="171"/>
      <c r="AE49" s="26">
        <f t="shared" si="6"/>
        <v>-7.3280000000000003</v>
      </c>
      <c r="AF49" s="51">
        <v>335.05</v>
      </c>
      <c r="AG49" s="51">
        <f>335.05/2</f>
        <v>167.52500000000001</v>
      </c>
      <c r="AH49" s="51">
        <v>614.12199999999996</v>
      </c>
      <c r="AI49" s="207">
        <f t="shared" si="7"/>
        <v>366.58528577824205</v>
      </c>
      <c r="AJ49" s="227" t="s">
        <v>173</v>
      </c>
    </row>
    <row r="50" spans="1:36" ht="25.5">
      <c r="A50" s="195"/>
      <c r="B50" s="212" t="s">
        <v>243</v>
      </c>
      <c r="C50" s="3" t="s">
        <v>14</v>
      </c>
      <c r="D50" s="9"/>
      <c r="E50" s="180">
        <v>39.497</v>
      </c>
      <c r="F50" s="32"/>
      <c r="G50" s="26">
        <f t="shared" si="0"/>
        <v>-39.497</v>
      </c>
      <c r="H50" s="6"/>
      <c r="I50" s="178">
        <v>88.706000000000003</v>
      </c>
      <c r="J50" s="32"/>
      <c r="K50" s="26">
        <f t="shared" si="1"/>
        <v>-88.706000000000003</v>
      </c>
      <c r="L50" s="34"/>
      <c r="M50" s="178">
        <v>19.399999999999999</v>
      </c>
      <c r="N50" s="32"/>
      <c r="O50" s="26">
        <f t="shared" si="2"/>
        <v>-19.399999999999999</v>
      </c>
      <c r="P50" s="6"/>
      <c r="Q50" s="178">
        <v>41.572000000000003</v>
      </c>
      <c r="R50" s="26"/>
      <c r="S50" s="26">
        <f t="shared" si="3"/>
        <v>-41.572000000000003</v>
      </c>
      <c r="T50" s="9"/>
      <c r="U50" s="180">
        <v>42.552999999999997</v>
      </c>
      <c r="V50" s="32"/>
      <c r="W50" s="26">
        <f t="shared" si="4"/>
        <v>-42.552999999999997</v>
      </c>
      <c r="X50" s="26"/>
      <c r="Y50" s="177">
        <v>8.3460000000000001</v>
      </c>
      <c r="Z50" s="26"/>
      <c r="AA50" s="26">
        <f t="shared" si="5"/>
        <v>-8.3460000000000001</v>
      </c>
      <c r="AB50" s="171"/>
      <c r="AC50" s="182">
        <v>93.278000000000006</v>
      </c>
      <c r="AD50" s="171"/>
      <c r="AE50" s="26">
        <f t="shared" si="6"/>
        <v>-93.278000000000006</v>
      </c>
      <c r="AF50" s="26">
        <v>3164</v>
      </c>
      <c r="AG50" s="26">
        <f>3164/2</f>
        <v>1582</v>
      </c>
      <c r="AH50" s="51">
        <v>1582</v>
      </c>
      <c r="AI50" s="207">
        <f t="shared" si="7"/>
        <v>100</v>
      </c>
      <c r="AJ50" s="227" t="s">
        <v>173</v>
      </c>
    </row>
    <row r="51" spans="1:36" ht="25.5">
      <c r="A51" s="52" t="s">
        <v>40</v>
      </c>
      <c r="B51" s="46" t="s">
        <v>41</v>
      </c>
      <c r="C51" s="3" t="s">
        <v>14</v>
      </c>
      <c r="D51" s="53" t="e">
        <f>SUM(D6+D28)</f>
        <v>#REF!</v>
      </c>
      <c r="E51" s="48" t="e">
        <f>SUM(E6+E28)</f>
        <v>#REF!</v>
      </c>
      <c r="F51" s="49"/>
      <c r="G51" s="26" t="e">
        <f>D51-E51</f>
        <v>#REF!</v>
      </c>
      <c r="H51" s="53" t="e">
        <f>H6+H28</f>
        <v>#REF!</v>
      </c>
      <c r="I51" s="120" t="e">
        <f>SUM(I6+I28)</f>
        <v>#REF!</v>
      </c>
      <c r="J51" s="49"/>
      <c r="K51" s="26" t="e">
        <f>H51-I51</f>
        <v>#REF!</v>
      </c>
      <c r="L51" s="53" t="e">
        <f>SUM(L6+L28)</f>
        <v>#REF!</v>
      </c>
      <c r="M51" s="48" t="e">
        <f>SUM(M6+M28)</f>
        <v>#REF!</v>
      </c>
      <c r="N51" s="53"/>
      <c r="O51" s="26" t="e">
        <f>L51-M51</f>
        <v>#REF!</v>
      </c>
      <c r="P51" s="53" t="e">
        <f>P6+P28</f>
        <v>#REF!</v>
      </c>
      <c r="Q51" s="48" t="e">
        <f>SUM(Q6+Q28)</f>
        <v>#REF!</v>
      </c>
      <c r="R51" s="26"/>
      <c r="S51" s="26" t="e">
        <f>P51-Q51</f>
        <v>#REF!</v>
      </c>
      <c r="T51" s="53" t="e">
        <f>T6+T28</f>
        <v>#REF!</v>
      </c>
      <c r="U51" s="48" t="e">
        <f>SUM(U6+U28)</f>
        <v>#REF!</v>
      </c>
      <c r="V51" s="53"/>
      <c r="W51" s="26" t="e">
        <f>T51-U51</f>
        <v>#REF!</v>
      </c>
      <c r="X51" s="53" t="e">
        <f>X6+X29</f>
        <v>#REF!</v>
      </c>
      <c r="Y51" s="48" t="e">
        <f>SUM(Y6+Y28)</f>
        <v>#REF!</v>
      </c>
      <c r="Z51" s="53"/>
      <c r="AA51" s="26" t="e">
        <f>X51-Y51</f>
        <v>#REF!</v>
      </c>
      <c r="AB51" s="53" t="e">
        <f>AB6+AB29</f>
        <v>#REF!</v>
      </c>
      <c r="AC51" s="53" t="e">
        <f>AC6+AC29</f>
        <v>#REF!</v>
      </c>
      <c r="AD51" s="171"/>
      <c r="AE51" s="26" t="e">
        <f>AB51-AC51</f>
        <v>#REF!</v>
      </c>
      <c r="AF51" s="26">
        <f>AF6+AF28</f>
        <v>532847.19999999995</v>
      </c>
      <c r="AG51" s="26">
        <f>AG6+AG28</f>
        <v>241262.465</v>
      </c>
      <c r="AH51" s="26">
        <f>AH6+AH28</f>
        <v>84258.143200000006</v>
      </c>
      <c r="AI51" s="207">
        <f t="shared" si="7"/>
        <v>34.923850753162121</v>
      </c>
      <c r="AJ51" s="227" t="s">
        <v>173</v>
      </c>
    </row>
    <row r="52" spans="1:36" ht="25.5">
      <c r="A52" s="52" t="s">
        <v>42</v>
      </c>
      <c r="B52" s="46" t="s">
        <v>43</v>
      </c>
      <c r="C52" s="3" t="s">
        <v>14</v>
      </c>
      <c r="D52" s="53"/>
      <c r="E52" s="48">
        <v>-9.27</v>
      </c>
      <c r="F52" s="49"/>
      <c r="G52" s="26">
        <f>D52-E52</f>
        <v>9.27</v>
      </c>
      <c r="H52" s="54"/>
      <c r="I52" s="55">
        <v>3972.8150000000001</v>
      </c>
      <c r="J52" s="49"/>
      <c r="K52" s="26"/>
      <c r="L52" s="49"/>
      <c r="M52" s="50">
        <v>234.5</v>
      </c>
      <c r="N52" s="49"/>
      <c r="O52" s="26">
        <f>L52-M52</f>
        <v>-234.5</v>
      </c>
      <c r="P52" s="49"/>
      <c r="Q52" s="48">
        <v>11629.662</v>
      </c>
      <c r="R52" s="26"/>
      <c r="S52" s="26">
        <f>P52-Q52</f>
        <v>-11629.662</v>
      </c>
      <c r="T52" s="53"/>
      <c r="U52" s="48">
        <v>-1457.79</v>
      </c>
      <c r="V52" s="49"/>
      <c r="W52" s="26">
        <f>T52-U52</f>
        <v>1457.79</v>
      </c>
      <c r="X52" s="53"/>
      <c r="Y52" s="48">
        <v>1618.58</v>
      </c>
      <c r="Z52" s="49"/>
      <c r="AA52" s="26">
        <f>X52-Y52</f>
        <v>-1618.58</v>
      </c>
      <c r="AB52" s="49"/>
      <c r="AC52" s="49">
        <v>8303.75</v>
      </c>
      <c r="AD52" s="171"/>
      <c r="AE52" s="26">
        <f>AB52-AC52</f>
        <v>-8303.75</v>
      </c>
      <c r="AF52" s="26">
        <v>42241</v>
      </c>
      <c r="AG52" s="26">
        <f>42241/2</f>
        <v>21120.5</v>
      </c>
      <c r="AH52" s="26">
        <f>AH53-AH51</f>
        <v>-11777.243200000012</v>
      </c>
      <c r="AI52" s="207">
        <f t="shared" si="7"/>
        <v>-55.762141994744496</v>
      </c>
      <c r="AJ52" s="227" t="s">
        <v>173</v>
      </c>
    </row>
    <row r="53" spans="1:36" ht="25.5">
      <c r="A53" s="52" t="s">
        <v>44</v>
      </c>
      <c r="B53" s="46" t="s">
        <v>45</v>
      </c>
      <c r="C53" s="3" t="s">
        <v>14</v>
      </c>
      <c r="D53" s="53" t="e">
        <f>D51-D52</f>
        <v>#REF!</v>
      </c>
      <c r="E53" s="48" t="e">
        <f>E51+E52</f>
        <v>#REF!</v>
      </c>
      <c r="F53" s="50"/>
      <c r="G53" s="26" t="e">
        <f>D53-E53</f>
        <v>#REF!</v>
      </c>
      <c r="H53" s="53" t="e">
        <f>H51-H52</f>
        <v>#REF!</v>
      </c>
      <c r="I53" s="48" t="e">
        <f>I51+I52</f>
        <v>#REF!</v>
      </c>
      <c r="J53" s="49"/>
      <c r="K53" s="26" t="e">
        <f>H53-I53</f>
        <v>#REF!</v>
      </c>
      <c r="L53" s="53" t="e">
        <f>SUM(L51-L52)</f>
        <v>#REF!</v>
      </c>
      <c r="M53" s="48" t="e">
        <f>M51+M52</f>
        <v>#REF!</v>
      </c>
      <c r="N53" s="50"/>
      <c r="O53" s="26" t="e">
        <f>L53-M53</f>
        <v>#REF!</v>
      </c>
      <c r="P53" s="53" t="e">
        <f>P51-P52</f>
        <v>#REF!</v>
      </c>
      <c r="Q53" s="48" t="e">
        <f>Q51+Q52</f>
        <v>#REF!</v>
      </c>
      <c r="R53" s="26"/>
      <c r="S53" s="26" t="e">
        <f>P53-Q53</f>
        <v>#REF!</v>
      </c>
      <c r="T53" s="53" t="e">
        <f>T51-T52</f>
        <v>#REF!</v>
      </c>
      <c r="U53" s="48" t="e">
        <f>U51+U52</f>
        <v>#REF!</v>
      </c>
      <c r="V53" s="50"/>
      <c r="W53" s="26" t="e">
        <f>T53-U53</f>
        <v>#REF!</v>
      </c>
      <c r="X53" s="53" t="e">
        <f>X51-X52</f>
        <v>#REF!</v>
      </c>
      <c r="Y53" s="48" t="e">
        <f>Y51+Y52</f>
        <v>#REF!</v>
      </c>
      <c r="Z53" s="55"/>
      <c r="AA53" s="26" t="e">
        <f>X53-Y53</f>
        <v>#REF!</v>
      </c>
      <c r="AB53" s="53" t="e">
        <f>SUM(AB51-AB52)</f>
        <v>#REF!</v>
      </c>
      <c r="AC53" s="53" t="e">
        <f>SUM(AC51+AC52)</f>
        <v>#REF!</v>
      </c>
      <c r="AD53" s="171"/>
      <c r="AE53" s="26" t="e">
        <f>AB53-AC53</f>
        <v>#REF!</v>
      </c>
      <c r="AF53" s="26">
        <f>AF51+AF52</f>
        <v>575088.19999999995</v>
      </c>
      <c r="AG53" s="26">
        <f>AG51+AG52</f>
        <v>262382.96499999997</v>
      </c>
      <c r="AH53" s="26">
        <v>72480.899999999994</v>
      </c>
      <c r="AI53" s="207">
        <f t="shared" si="7"/>
        <v>27.624087562239417</v>
      </c>
      <c r="AJ53" s="227" t="s">
        <v>173</v>
      </c>
    </row>
    <row r="54" spans="1:36" ht="25.5">
      <c r="A54" s="52" t="s">
        <v>46</v>
      </c>
      <c r="B54" s="20" t="s">
        <v>47</v>
      </c>
      <c r="C54" s="21" t="s">
        <v>48</v>
      </c>
      <c r="D54" s="56">
        <v>52</v>
      </c>
      <c r="E54" s="24">
        <v>36.54</v>
      </c>
      <c r="F54" s="26"/>
      <c r="G54" s="26"/>
      <c r="H54" s="26">
        <v>156.30000000000001</v>
      </c>
      <c r="I54" s="24">
        <v>132.98099999999999</v>
      </c>
      <c r="J54" s="26"/>
      <c r="K54" s="26"/>
      <c r="L54" s="26">
        <v>25</v>
      </c>
      <c r="M54" s="24">
        <v>25.233000000000001</v>
      </c>
      <c r="N54" s="26"/>
      <c r="O54" s="26"/>
      <c r="P54" s="26">
        <v>119.67</v>
      </c>
      <c r="Q54" s="24">
        <v>94.676000000000002</v>
      </c>
      <c r="R54" s="26"/>
      <c r="S54" s="26"/>
      <c r="T54" s="26">
        <v>150.41999999999999</v>
      </c>
      <c r="U54" s="24">
        <v>145.54</v>
      </c>
      <c r="V54" s="26"/>
      <c r="W54" s="26"/>
      <c r="X54" s="26">
        <v>37</v>
      </c>
      <c r="Y54" s="24">
        <v>26.751000000000001</v>
      </c>
      <c r="Z54" s="26"/>
      <c r="AA54" s="26"/>
      <c r="AB54" s="171">
        <v>117330</v>
      </c>
      <c r="AC54" s="171">
        <v>102.5</v>
      </c>
      <c r="AD54" s="171"/>
      <c r="AE54" s="26">
        <f>AB54-AC54</f>
        <v>117227.5</v>
      </c>
      <c r="AF54" s="26">
        <v>896550</v>
      </c>
      <c r="AG54" s="26">
        <f>896550/2</f>
        <v>448275</v>
      </c>
      <c r="AH54" s="26">
        <v>102183</v>
      </c>
      <c r="AI54" s="207">
        <f t="shared" si="7"/>
        <v>22.794713066755897</v>
      </c>
      <c r="AJ54" s="227" t="s">
        <v>173</v>
      </c>
    </row>
    <row r="55" spans="1:36" ht="21">
      <c r="A55" s="52" t="s">
        <v>49</v>
      </c>
      <c r="B55" s="20" t="s">
        <v>50</v>
      </c>
      <c r="C55" s="21" t="s">
        <v>51</v>
      </c>
      <c r="D55" s="56" t="s">
        <v>52</v>
      </c>
      <c r="E55" s="57" t="e">
        <f>SUM(E51/E54)/1000</f>
        <v>#REF!</v>
      </c>
      <c r="F55" s="58"/>
      <c r="G55" s="58"/>
      <c r="H55" s="170" t="s">
        <v>201</v>
      </c>
      <c r="I55" s="119" t="e">
        <f>SUM(I51/I54)/1000</f>
        <v>#REF!</v>
      </c>
      <c r="J55" s="58"/>
      <c r="K55" s="58"/>
      <c r="L55" s="56">
        <v>9.7000000000000003E-2</v>
      </c>
      <c r="M55" s="119" t="e">
        <f>SUM(M51/M54)/1000</f>
        <v>#REF!</v>
      </c>
      <c r="N55" s="58"/>
      <c r="O55" s="58"/>
      <c r="P55" s="56">
        <v>9.7000000000000003E-2</v>
      </c>
      <c r="Q55" s="119" t="e">
        <f>SUM(Q51/Q54)/1000</f>
        <v>#REF!</v>
      </c>
      <c r="R55" s="58"/>
      <c r="S55" s="58"/>
      <c r="T55" s="59" t="s">
        <v>53</v>
      </c>
      <c r="U55" s="119" t="e">
        <f>SUM(U51/U54)/1000</f>
        <v>#REF!</v>
      </c>
      <c r="V55" s="58"/>
      <c r="W55" s="58"/>
      <c r="X55" s="56" t="s">
        <v>52</v>
      </c>
      <c r="Y55" s="119" t="e">
        <f>SUM(Y51/Y54)/1000</f>
        <v>#REF!</v>
      </c>
      <c r="Z55" s="58"/>
      <c r="AA55" s="58"/>
      <c r="AB55" s="172"/>
      <c r="AC55" s="172"/>
      <c r="AD55" s="172"/>
      <c r="AE55" s="172"/>
      <c r="AF55" s="56">
        <f>AF53/AF54</f>
        <v>0.64144576431877753</v>
      </c>
      <c r="AG55" s="56">
        <f>AG53/AG54</f>
        <v>0.58531697060955878</v>
      </c>
      <c r="AH55" s="56">
        <f>AH53/AH54</f>
        <v>0.70932444731511102</v>
      </c>
      <c r="AI55" s="207">
        <f t="shared" si="7"/>
        <v>121.18637984755658</v>
      </c>
      <c r="AJ55" s="209"/>
    </row>
    <row r="58" spans="1:36">
      <c r="B58" s="173" t="s">
        <v>275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</row>
    <row r="59" spans="1:36"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</row>
    <row r="60" spans="1:36">
      <c r="B60" s="173" t="s">
        <v>274</v>
      </c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</row>
    <row r="61" spans="1:36"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</row>
    <row r="62" spans="1:36">
      <c r="B62" s="114" t="s">
        <v>276</v>
      </c>
    </row>
    <row r="66" spans="2:43">
      <c r="B66" s="234"/>
    </row>
    <row r="74" spans="2:43">
      <c r="AI74" s="114">
        <v>23356638</v>
      </c>
      <c r="AJ74" s="114">
        <v>2042735</v>
      </c>
    </row>
    <row r="75" spans="2:43">
      <c r="AI75" s="114" t="s">
        <v>246</v>
      </c>
      <c r="AJ75" s="114" t="s">
        <v>250</v>
      </c>
      <c r="AL75" s="114" t="s">
        <v>251</v>
      </c>
      <c r="AN75" s="114" t="s">
        <v>230</v>
      </c>
      <c r="AO75" s="114" t="s">
        <v>254</v>
      </c>
      <c r="AP75" s="114" t="s">
        <v>255</v>
      </c>
      <c r="AQ75" s="114" t="s">
        <v>257</v>
      </c>
    </row>
    <row r="76" spans="2:43">
      <c r="AI76" s="114">
        <f>23356638/6/31*24/1000*6</f>
        <v>18082.558451612906</v>
      </c>
      <c r="AJ76" s="114">
        <f>AJ74/6/31*24/1000*6</f>
        <v>1581.4722580645162</v>
      </c>
      <c r="AL76" s="114">
        <v>1937727</v>
      </c>
      <c r="AN76" s="114">
        <v>288746</v>
      </c>
      <c r="AO76" s="114">
        <v>337348</v>
      </c>
      <c r="AP76" s="114">
        <v>69605</v>
      </c>
      <c r="AQ76" s="114">
        <v>815802</v>
      </c>
    </row>
    <row r="77" spans="2:43">
      <c r="AI77" s="114" t="s">
        <v>247</v>
      </c>
      <c r="AL77" s="114">
        <f>AL76/6/29*24/1000*6</f>
        <v>1603.6361379310347</v>
      </c>
      <c r="AM77" s="114" t="s">
        <v>252</v>
      </c>
      <c r="AN77" s="114">
        <f>AN76/6/29*24/1000*6</f>
        <v>238.96220689655172</v>
      </c>
      <c r="AO77" s="114">
        <f>AO76/6/29*24/1000*6</f>
        <v>279.18455172413792</v>
      </c>
      <c r="AP77" s="114">
        <f>AP76/6/29*24/1000*6</f>
        <v>57.604137931034487</v>
      </c>
      <c r="AQ77" s="114">
        <f>AQ76/6/29*24/1000*6</f>
        <v>675.14648275862066</v>
      </c>
    </row>
    <row r="78" spans="2:43">
      <c r="AI78" s="114">
        <f>AI74/6/31*5/1000*6</f>
        <v>3767.1996774193549</v>
      </c>
      <c r="AJ78" s="114">
        <f>AJ74/6/31*5/1000*6</f>
        <v>329.47338709677416</v>
      </c>
      <c r="AL78" s="114">
        <f>AL76/6/29*5/1000*6</f>
        <v>334.09086206896558</v>
      </c>
      <c r="AM78" s="114" t="s">
        <v>253</v>
      </c>
      <c r="AN78" s="114">
        <f>AN76/6/29*5/1000*6</f>
        <v>49.783793103448275</v>
      </c>
      <c r="AO78" s="114">
        <f>AO76/6/29*5/1000*6</f>
        <v>58.163448275862081</v>
      </c>
      <c r="AP78" s="114">
        <f>AP76/6/29*5/1000*6</f>
        <v>12.000862068965519</v>
      </c>
      <c r="AQ78" s="114">
        <f>AQ76/6/29*5/1000*6</f>
        <v>140.65551724137933</v>
      </c>
    </row>
    <row r="79" spans="2:43">
      <c r="AI79" s="114" t="s">
        <v>248</v>
      </c>
      <c r="AL79" s="114">
        <f>AL77+AL78</f>
        <v>1937.7270000000003</v>
      </c>
      <c r="AN79" s="114">
        <f>AN77+AN78</f>
        <v>288.74599999999998</v>
      </c>
      <c r="AO79" s="114">
        <f>AO77+AO78</f>
        <v>337.34800000000001</v>
      </c>
      <c r="AP79" s="114">
        <f>AP77+AP78</f>
        <v>69.605000000000004</v>
      </c>
      <c r="AQ79" s="114">
        <f>AQ77+AQ78</f>
        <v>815.80200000000002</v>
      </c>
    </row>
    <row r="80" spans="2:43">
      <c r="B80" s="114" t="s">
        <v>262</v>
      </c>
      <c r="AI80" s="114">
        <f>AI74/6/31*1.5/1000*6</f>
        <v>1130.1599032258066</v>
      </c>
      <c r="AJ80" s="114">
        <f>AJ74/6/31*1.5/1000*6</f>
        <v>98.84201612903226</v>
      </c>
    </row>
    <row r="81" spans="2:39">
      <c r="B81" s="114" t="s">
        <v>263</v>
      </c>
      <c r="AI81" s="114" t="s">
        <v>249</v>
      </c>
    </row>
    <row r="82" spans="2:39">
      <c r="B82" s="114" t="s">
        <v>264</v>
      </c>
      <c r="AI82" s="114">
        <f>AI74/6/31*0.5/1000*6</f>
        <v>376.71996774193553</v>
      </c>
      <c r="AJ82" s="114">
        <f>AJ74/6/31*0.5/1000*6</f>
        <v>32.947338709677418</v>
      </c>
    </row>
    <row r="83" spans="2:39">
      <c r="B83" s="114" t="s">
        <v>265</v>
      </c>
      <c r="AI83" s="114">
        <f>AI76+AI78+AI80+AI82</f>
        <v>23356.637999999999</v>
      </c>
      <c r="AJ83" s="114">
        <f>AJ76+AJ78+AJ80+AJ82</f>
        <v>2042.7350000000001</v>
      </c>
    </row>
    <row r="84" spans="2:39">
      <c r="B84" s="114" t="s">
        <v>266</v>
      </c>
    </row>
    <row r="85" spans="2:39">
      <c r="AH85" s="114" t="s">
        <v>259</v>
      </c>
      <c r="AI85" s="114" t="s">
        <v>242</v>
      </c>
      <c r="AK85" s="114" t="s">
        <v>258</v>
      </c>
      <c r="AM85" s="114" t="s">
        <v>260</v>
      </c>
    </row>
    <row r="86" spans="2:39">
      <c r="AH86" s="114">
        <v>172800</v>
      </c>
      <c r="AI86" s="114">
        <v>742064</v>
      </c>
      <c r="AK86" s="114">
        <v>44643</v>
      </c>
      <c r="AM86" s="114">
        <v>299005</v>
      </c>
    </row>
    <row r="87" spans="2:39">
      <c r="AH87" s="114">
        <f>AH86/6/29*24/1000*6</f>
        <v>143.00689655172414</v>
      </c>
      <c r="AI87" s="114">
        <f>742064/6/29*24/1000*6</f>
        <v>614.12193103448271</v>
      </c>
      <c r="AJ87" s="114" t="s">
        <v>252</v>
      </c>
      <c r="AK87" s="114">
        <f>AK86/6/29*24/1000*6</f>
        <v>36.945931034482761</v>
      </c>
      <c r="AM87" s="114">
        <f>AM86/6/29*24/1000*6</f>
        <v>247.45241379310346</v>
      </c>
    </row>
    <row r="88" spans="2:39">
      <c r="AH88" s="114">
        <f>AH86/6/29*5/1000*6</f>
        <v>29.793103448275865</v>
      </c>
      <c r="AI88" s="114">
        <f>742064/6/29*5/1000*6</f>
        <v>127.94206896551722</v>
      </c>
      <c r="AJ88" s="114" t="s">
        <v>253</v>
      </c>
      <c r="AK88" s="114">
        <f>AK86/6/29*5/1000*6</f>
        <v>7.697068965517242</v>
      </c>
      <c r="AM88" s="114">
        <f>AM86/6/29*5/1000*6</f>
        <v>51.552586206896549</v>
      </c>
    </row>
    <row r="89" spans="2:39">
      <c r="AH89" s="114">
        <f>AH87+AH88</f>
        <v>172.8</v>
      </c>
      <c r="AI89" s="114">
        <f>AI87+AI88</f>
        <v>742.06399999999996</v>
      </c>
      <c r="AK89" s="114">
        <f>AK87+AK88</f>
        <v>44.643000000000001</v>
      </c>
      <c r="AM89" s="114">
        <f>AM87+AM88</f>
        <v>299.005</v>
      </c>
    </row>
    <row r="92" spans="2:39">
      <c r="AH92" s="114" t="s">
        <v>270</v>
      </c>
      <c r="AI92" s="114" t="s">
        <v>271</v>
      </c>
      <c r="AK92" s="114" t="s">
        <v>268</v>
      </c>
      <c r="AM92" s="114" t="s">
        <v>269</v>
      </c>
    </row>
    <row r="93" spans="2:39">
      <c r="AH93" s="114">
        <v>1341168</v>
      </c>
      <c r="AI93" s="114">
        <v>701567</v>
      </c>
      <c r="AK93" s="114">
        <v>196429</v>
      </c>
      <c r="AM93" s="114">
        <v>102574</v>
      </c>
    </row>
    <row r="94" spans="2:39">
      <c r="AH94" s="114">
        <f>742064/6/29*24/1000*6</f>
        <v>614.12193103448271</v>
      </c>
      <c r="AI94" s="114">
        <f>742064/6/29*24/1000*6</f>
        <v>614.12193103448271</v>
      </c>
      <c r="AK94" s="114">
        <v>196429</v>
      </c>
    </row>
    <row r="95" spans="2:39">
      <c r="AH95" s="114">
        <f>AH93/6/29*5/1000*6</f>
        <v>231.2358620689655</v>
      </c>
      <c r="AI95" s="114">
        <f>AI93/6/29*5/1000*6</f>
        <v>120.95982758620691</v>
      </c>
      <c r="AM95" s="114">
        <f>AM93/6/29*5/1000*6</f>
        <v>17.685172413793104</v>
      </c>
    </row>
    <row r="96" spans="2:39">
      <c r="AH96" s="114">
        <f>AH94+AH95</f>
        <v>845.35779310344822</v>
      </c>
      <c r="AI96" s="114">
        <f>AI94+AI95</f>
        <v>735.08175862068958</v>
      </c>
      <c r="AK96" s="114">
        <f>AK94/6/29*5/1000*6</f>
        <v>33.867068965517241</v>
      </c>
      <c r="AM96" s="114">
        <f>AM94+AM95</f>
        <v>17.685172413793104</v>
      </c>
    </row>
    <row r="97" spans="34:37">
      <c r="AK97" s="114">
        <f>AK95+AK96</f>
        <v>33.867068965517241</v>
      </c>
    </row>
    <row r="98" spans="34:37">
      <c r="AH98" s="114">
        <f>AH93/6/31*0.5/1000*6</f>
        <v>21.631741935483873</v>
      </c>
      <c r="AI98" s="114">
        <f>AI93/6/31*0.5/1000*6</f>
        <v>11.315596774193548</v>
      </c>
    </row>
    <row r="99" spans="34:37">
      <c r="AH99" s="114">
        <f>AH93/6/31*1.5/1000*6</f>
        <v>64.895225806451606</v>
      </c>
      <c r="AI99" s="114">
        <f>AI93/6/31*1.5/1000*6</f>
        <v>33.94679032258064</v>
      </c>
    </row>
  </sheetData>
  <mergeCells count="16">
    <mergeCell ref="AJ4:AJ5"/>
    <mergeCell ref="B2:AJ3"/>
    <mergeCell ref="AF4:AF5"/>
    <mergeCell ref="AH4:AH5"/>
    <mergeCell ref="AG4:AG5"/>
    <mergeCell ref="H4:K4"/>
    <mergeCell ref="L4:O4"/>
    <mergeCell ref="P4:S4"/>
    <mergeCell ref="T4:W4"/>
    <mergeCell ref="X4:AA4"/>
    <mergeCell ref="AB4:AE4"/>
    <mergeCell ref="A4:A5"/>
    <mergeCell ref="B4:B5"/>
    <mergeCell ref="C4:C5"/>
    <mergeCell ref="D4:G4"/>
    <mergeCell ref="AI4:AI5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rowBreaks count="3" manualBreakCount="3">
    <brk id="21" max="43" man="1"/>
    <brk id="43" max="43" man="1"/>
    <brk id="6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3:AH95"/>
  <sheetViews>
    <sheetView view="pageBreakPreview" zoomScale="60" zoomScaleNormal="100" workbookViewId="0">
      <selection activeCell="F1" sqref="F1:F1048576"/>
    </sheetView>
  </sheetViews>
  <sheetFormatPr defaultRowHeight="15"/>
  <cols>
    <col min="1" max="1" width="5.140625" style="114" customWidth="1"/>
    <col min="2" max="2" width="40.85546875" style="114" customWidth="1"/>
    <col min="3" max="3" width="10.42578125" style="114" customWidth="1"/>
    <col min="4" max="5" width="13.5703125" style="114" customWidth="1"/>
    <col min="6" max="6" width="13.42578125" style="114" customWidth="1"/>
    <col min="7" max="7" width="10.85546875" style="114" customWidth="1"/>
    <col min="8" max="8" width="24.5703125" style="114" customWidth="1"/>
    <col min="9" max="16384" width="9.140625" style="114"/>
  </cols>
  <sheetData>
    <row r="3" spans="1:12" ht="15" customHeight="1">
      <c r="A3" s="249" t="s">
        <v>279</v>
      </c>
      <c r="B3" s="249"/>
      <c r="C3" s="249"/>
      <c r="D3" s="249"/>
      <c r="E3" s="249"/>
      <c r="F3" s="249"/>
      <c r="G3" s="249"/>
      <c r="H3" s="249"/>
      <c r="I3" s="72"/>
      <c r="J3" s="72"/>
      <c r="K3" s="72"/>
      <c r="L3" s="72"/>
    </row>
    <row r="4" spans="1:12">
      <c r="A4" s="249"/>
      <c r="B4" s="249"/>
      <c r="C4" s="249"/>
      <c r="D4" s="249"/>
      <c r="E4" s="249"/>
      <c r="F4" s="249"/>
      <c r="G4" s="249"/>
      <c r="H4" s="249"/>
      <c r="I4" s="72"/>
      <c r="J4" s="72"/>
      <c r="K4" s="72"/>
      <c r="L4" s="72"/>
    </row>
    <row r="5" spans="1:12" ht="24.75" customHeight="1">
      <c r="A5" s="250"/>
      <c r="B5" s="250"/>
      <c r="C5" s="250"/>
      <c r="D5" s="250"/>
      <c r="E5" s="250"/>
      <c r="F5" s="250"/>
      <c r="G5" s="250"/>
      <c r="H5" s="250"/>
      <c r="I5" s="73"/>
      <c r="J5" s="73"/>
      <c r="K5" s="73"/>
      <c r="L5" s="73"/>
    </row>
    <row r="6" spans="1:12" ht="58.5" customHeight="1">
      <c r="A6" s="214" t="s">
        <v>0</v>
      </c>
      <c r="B6" s="214" t="s">
        <v>56</v>
      </c>
      <c r="C6" s="214" t="s">
        <v>57</v>
      </c>
      <c r="D6" s="144" t="s">
        <v>208</v>
      </c>
      <c r="E6" s="228" t="s">
        <v>267</v>
      </c>
      <c r="F6" s="17" t="s">
        <v>209</v>
      </c>
      <c r="G6" s="71" t="s">
        <v>170</v>
      </c>
      <c r="H6" s="84" t="s">
        <v>171</v>
      </c>
    </row>
    <row r="7" spans="1:12" ht="38.25">
      <c r="A7" s="214" t="s">
        <v>58</v>
      </c>
      <c r="B7" s="215" t="s">
        <v>59</v>
      </c>
      <c r="C7" s="214" t="s">
        <v>60</v>
      </c>
      <c r="D7" s="214"/>
      <c r="E7" s="214"/>
      <c r="F7" s="223"/>
      <c r="G7" s="82"/>
      <c r="H7" s="82"/>
      <c r="I7" s="91"/>
      <c r="J7" s="91"/>
      <c r="K7" s="91"/>
      <c r="L7" s="91"/>
    </row>
    <row r="8" spans="1:12" ht="25.5">
      <c r="A8" s="78">
        <v>1</v>
      </c>
      <c r="B8" s="75" t="s">
        <v>61</v>
      </c>
      <c r="C8" s="74" t="s">
        <v>60</v>
      </c>
      <c r="D8" s="74"/>
      <c r="E8" s="74"/>
      <c r="F8" s="63"/>
      <c r="G8" s="81"/>
      <c r="H8" s="81"/>
    </row>
    <row r="9" spans="1:12">
      <c r="A9" s="74" t="s">
        <v>62</v>
      </c>
      <c r="B9" s="75" t="s">
        <v>63</v>
      </c>
      <c r="C9" s="74" t="s">
        <v>60</v>
      </c>
      <c r="D9" s="74"/>
      <c r="E9" s="74"/>
      <c r="F9" s="63"/>
      <c r="G9" s="81"/>
      <c r="H9" s="81"/>
    </row>
    <row r="10" spans="1:12">
      <c r="A10" s="74" t="s">
        <v>64</v>
      </c>
      <c r="B10" s="75" t="s">
        <v>16</v>
      </c>
      <c r="C10" s="74" t="s">
        <v>60</v>
      </c>
      <c r="D10" s="74"/>
      <c r="E10" s="74"/>
      <c r="F10" s="63"/>
      <c r="G10" s="81"/>
      <c r="H10" s="81"/>
    </row>
    <row r="11" spans="1:12">
      <c r="A11" s="74" t="s">
        <v>65</v>
      </c>
      <c r="B11" s="75" t="s">
        <v>66</v>
      </c>
      <c r="C11" s="74" t="s">
        <v>60</v>
      </c>
      <c r="D11" s="74"/>
      <c r="E11" s="74"/>
      <c r="F11" s="63"/>
      <c r="G11" s="81"/>
      <c r="H11" s="81"/>
    </row>
    <row r="12" spans="1:12">
      <c r="A12" s="74" t="s">
        <v>67</v>
      </c>
      <c r="B12" s="75" t="s">
        <v>68</v>
      </c>
      <c r="C12" s="74" t="s">
        <v>60</v>
      </c>
      <c r="D12" s="74"/>
      <c r="E12" s="74"/>
      <c r="F12" s="63"/>
      <c r="G12" s="81"/>
      <c r="H12" s="81"/>
    </row>
    <row r="13" spans="1:12">
      <c r="A13" s="74" t="s">
        <v>69</v>
      </c>
      <c r="B13" s="75" t="s">
        <v>70</v>
      </c>
      <c r="C13" s="74" t="s">
        <v>60</v>
      </c>
      <c r="D13" s="74"/>
      <c r="E13" s="74"/>
      <c r="F13" s="63"/>
      <c r="G13" s="81"/>
      <c r="H13" s="81"/>
    </row>
    <row r="14" spans="1:12">
      <c r="A14" s="74" t="s">
        <v>71</v>
      </c>
      <c r="B14" s="75" t="s">
        <v>72</v>
      </c>
      <c r="C14" s="74" t="s">
        <v>60</v>
      </c>
      <c r="D14" s="74"/>
      <c r="E14" s="74"/>
      <c r="F14" s="63"/>
      <c r="G14" s="81"/>
      <c r="H14" s="81"/>
    </row>
    <row r="15" spans="1:12" ht="25.5">
      <c r="A15" s="78">
        <v>2</v>
      </c>
      <c r="B15" s="75" t="s">
        <v>73</v>
      </c>
      <c r="C15" s="74" t="s">
        <v>60</v>
      </c>
      <c r="D15" s="74"/>
      <c r="E15" s="74"/>
      <c r="F15" s="63"/>
      <c r="G15" s="81"/>
      <c r="H15" s="81"/>
    </row>
    <row r="16" spans="1:12">
      <c r="A16" s="74" t="s">
        <v>74</v>
      </c>
      <c r="B16" s="75" t="s">
        <v>18</v>
      </c>
      <c r="C16" s="74" t="s">
        <v>60</v>
      </c>
      <c r="D16" s="74"/>
      <c r="E16" s="74"/>
      <c r="F16" s="63"/>
      <c r="G16" s="81"/>
      <c r="H16" s="81"/>
      <c r="I16" s="92"/>
    </row>
    <row r="17" spans="1:9">
      <c r="A17" s="74" t="s">
        <v>75</v>
      </c>
      <c r="B17" s="75" t="s">
        <v>76</v>
      </c>
      <c r="C17" s="74" t="s">
        <v>60</v>
      </c>
      <c r="D17" s="74"/>
      <c r="E17" s="74"/>
      <c r="F17" s="63"/>
      <c r="G17" s="81"/>
      <c r="H17" s="81"/>
      <c r="I17" s="92"/>
    </row>
    <row r="18" spans="1:9">
      <c r="A18" s="74" t="s">
        <v>77</v>
      </c>
      <c r="B18" s="77" t="s">
        <v>78</v>
      </c>
      <c r="C18" s="74" t="s">
        <v>60</v>
      </c>
      <c r="D18" s="74"/>
      <c r="E18" s="74"/>
      <c r="F18" s="63"/>
      <c r="G18" s="81"/>
      <c r="H18" s="81"/>
      <c r="I18" s="92"/>
    </row>
    <row r="19" spans="1:9">
      <c r="A19" s="78">
        <v>3</v>
      </c>
      <c r="B19" s="75" t="s">
        <v>20</v>
      </c>
      <c r="C19" s="74" t="s">
        <v>60</v>
      </c>
      <c r="D19" s="74"/>
      <c r="E19" s="74"/>
      <c r="F19" s="63"/>
      <c r="G19" s="81"/>
      <c r="H19" s="81"/>
      <c r="I19" s="92"/>
    </row>
    <row r="20" spans="1:9" ht="25.5">
      <c r="A20" s="78">
        <v>4</v>
      </c>
      <c r="B20" s="75" t="s">
        <v>79</v>
      </c>
      <c r="C20" s="74" t="s">
        <v>60</v>
      </c>
      <c r="D20" s="74"/>
      <c r="E20" s="74"/>
      <c r="F20" s="63"/>
      <c r="G20" s="81"/>
      <c r="H20" s="81"/>
    </row>
    <row r="21" spans="1:9">
      <c r="A21" s="74" t="s">
        <v>80</v>
      </c>
      <c r="B21" s="75" t="s">
        <v>172</v>
      </c>
      <c r="C21" s="74" t="s">
        <v>60</v>
      </c>
      <c r="D21" s="74"/>
      <c r="E21" s="74"/>
      <c r="F21" s="63"/>
      <c r="G21" s="81"/>
      <c r="H21" s="81"/>
    </row>
    <row r="22" spans="1:9">
      <c r="A22" s="74" t="s">
        <v>81</v>
      </c>
      <c r="B22" s="75" t="s">
        <v>82</v>
      </c>
      <c r="C22" s="74" t="s">
        <v>60</v>
      </c>
      <c r="D22" s="74"/>
      <c r="E22" s="74"/>
      <c r="F22" s="63"/>
      <c r="G22" s="81"/>
      <c r="H22" s="81"/>
    </row>
    <row r="23" spans="1:9" ht="25.5">
      <c r="A23" s="78">
        <v>5</v>
      </c>
      <c r="B23" s="75" t="s">
        <v>83</v>
      </c>
      <c r="C23" s="74" t="s">
        <v>60</v>
      </c>
      <c r="D23" s="74"/>
      <c r="E23" s="74"/>
      <c r="F23" s="63"/>
      <c r="G23" s="81"/>
      <c r="H23" s="81"/>
    </row>
    <row r="24" spans="1:9" ht="38.25">
      <c r="A24" s="78" t="s">
        <v>84</v>
      </c>
      <c r="B24" s="75" t="s">
        <v>85</v>
      </c>
      <c r="C24" s="74" t="s">
        <v>60</v>
      </c>
      <c r="D24" s="74"/>
      <c r="E24" s="74"/>
      <c r="F24" s="63"/>
      <c r="G24" s="81"/>
      <c r="H24" s="81"/>
    </row>
    <row r="25" spans="1:9">
      <c r="A25" s="78" t="s">
        <v>86</v>
      </c>
      <c r="B25" s="75" t="s">
        <v>87</v>
      </c>
      <c r="C25" s="74" t="s">
        <v>60</v>
      </c>
      <c r="D25" s="74"/>
      <c r="E25" s="74"/>
      <c r="F25" s="63"/>
      <c r="G25" s="81"/>
      <c r="H25" s="81"/>
    </row>
    <row r="26" spans="1:9">
      <c r="A26" s="78" t="s">
        <v>88</v>
      </c>
      <c r="B26" s="75" t="s">
        <v>89</v>
      </c>
      <c r="C26" s="74" t="s">
        <v>60</v>
      </c>
      <c r="D26" s="74"/>
      <c r="E26" s="74"/>
      <c r="F26" s="63"/>
      <c r="G26" s="81"/>
      <c r="H26" s="81"/>
    </row>
    <row r="27" spans="1:9">
      <c r="A27" s="78" t="s">
        <v>90</v>
      </c>
      <c r="B27" s="75" t="s">
        <v>91</v>
      </c>
      <c r="C27" s="74" t="s">
        <v>60</v>
      </c>
      <c r="D27" s="74"/>
      <c r="E27" s="74"/>
      <c r="F27" s="63"/>
      <c r="G27" s="81"/>
      <c r="H27" s="81"/>
    </row>
    <row r="28" spans="1:9">
      <c r="A28" s="78" t="s">
        <v>92</v>
      </c>
      <c r="B28" s="75" t="s">
        <v>93</v>
      </c>
      <c r="C28" s="74" t="s">
        <v>60</v>
      </c>
      <c r="D28" s="74"/>
      <c r="E28" s="74"/>
      <c r="F28" s="63"/>
      <c r="G28" s="81"/>
      <c r="H28" s="81"/>
    </row>
    <row r="29" spans="1:9">
      <c r="A29" s="78" t="s">
        <v>94</v>
      </c>
      <c r="B29" s="75" t="s">
        <v>95</v>
      </c>
      <c r="C29" s="74" t="s">
        <v>60</v>
      </c>
      <c r="D29" s="74"/>
      <c r="E29" s="74"/>
      <c r="F29" s="63"/>
      <c r="G29" s="81"/>
      <c r="H29" s="81"/>
    </row>
    <row r="30" spans="1:9">
      <c r="A30" s="78" t="s">
        <v>96</v>
      </c>
      <c r="B30" s="75" t="s">
        <v>97</v>
      </c>
      <c r="C30" s="74" t="s">
        <v>60</v>
      </c>
      <c r="D30" s="74"/>
      <c r="E30" s="74"/>
      <c r="F30" s="63"/>
      <c r="G30" s="81"/>
      <c r="H30" s="81"/>
    </row>
    <row r="31" spans="1:9">
      <c r="A31" s="78" t="s">
        <v>98</v>
      </c>
      <c r="B31" s="75" t="s">
        <v>99</v>
      </c>
      <c r="C31" s="74" t="s">
        <v>60</v>
      </c>
      <c r="D31" s="74"/>
      <c r="E31" s="74"/>
      <c r="F31" s="63"/>
      <c r="G31" s="81"/>
      <c r="H31" s="81"/>
    </row>
    <row r="32" spans="1:9">
      <c r="A32" s="78" t="s">
        <v>100</v>
      </c>
      <c r="B32" s="75" t="s">
        <v>101</v>
      </c>
      <c r="C32" s="74" t="s">
        <v>60</v>
      </c>
      <c r="D32" s="74"/>
      <c r="E32" s="74"/>
      <c r="F32" s="63"/>
      <c r="G32" s="81"/>
      <c r="H32" s="81"/>
    </row>
    <row r="33" spans="1:8">
      <c r="A33" s="78">
        <v>6</v>
      </c>
      <c r="B33" s="75" t="s">
        <v>102</v>
      </c>
      <c r="C33" s="74" t="s">
        <v>60</v>
      </c>
      <c r="D33" s="74"/>
      <c r="E33" s="74"/>
      <c r="F33" s="63"/>
      <c r="G33" s="81"/>
      <c r="H33" s="81"/>
    </row>
    <row r="34" spans="1:8">
      <c r="A34" s="74" t="s">
        <v>103</v>
      </c>
      <c r="B34" s="75" t="s">
        <v>104</v>
      </c>
      <c r="C34" s="74" t="s">
        <v>60</v>
      </c>
      <c r="D34" s="74"/>
      <c r="E34" s="74"/>
      <c r="F34" s="63"/>
      <c r="G34" s="81"/>
      <c r="H34" s="81"/>
    </row>
    <row r="35" spans="1:8">
      <c r="A35" s="74" t="s">
        <v>105</v>
      </c>
      <c r="B35" s="75" t="s">
        <v>106</v>
      </c>
      <c r="C35" s="74" t="s">
        <v>60</v>
      </c>
      <c r="D35" s="74"/>
      <c r="E35" s="74"/>
      <c r="F35" s="63"/>
      <c r="G35" s="81"/>
      <c r="H35" s="81"/>
    </row>
    <row r="36" spans="1:8">
      <c r="A36" s="74" t="s">
        <v>107</v>
      </c>
      <c r="B36" s="75" t="s">
        <v>108</v>
      </c>
      <c r="C36" s="74" t="s">
        <v>60</v>
      </c>
      <c r="D36" s="74"/>
      <c r="E36" s="74"/>
      <c r="F36" s="63"/>
      <c r="G36" s="81"/>
      <c r="H36" s="81"/>
    </row>
    <row r="37" spans="1:8">
      <c r="A37" s="74" t="s">
        <v>109</v>
      </c>
      <c r="B37" s="75" t="s">
        <v>110</v>
      </c>
      <c r="C37" s="74" t="s">
        <v>60</v>
      </c>
      <c r="D37" s="74"/>
      <c r="E37" s="74"/>
      <c r="F37" s="63"/>
      <c r="G37" s="81"/>
      <c r="H37" s="81"/>
    </row>
    <row r="38" spans="1:8">
      <c r="A38" s="74" t="s">
        <v>111</v>
      </c>
      <c r="B38" s="75" t="s">
        <v>112</v>
      </c>
      <c r="C38" s="74" t="s">
        <v>60</v>
      </c>
      <c r="D38" s="74"/>
      <c r="E38" s="74"/>
      <c r="F38" s="63"/>
      <c r="G38" s="81"/>
      <c r="H38" s="81"/>
    </row>
    <row r="39" spans="1:8">
      <c r="A39" s="74" t="s">
        <v>113</v>
      </c>
      <c r="B39" s="77" t="s">
        <v>114</v>
      </c>
      <c r="C39" s="74" t="s">
        <v>60</v>
      </c>
      <c r="D39" s="74"/>
      <c r="E39" s="74"/>
      <c r="F39" s="63"/>
      <c r="G39" s="81"/>
      <c r="H39" s="81"/>
    </row>
    <row r="40" spans="1:8">
      <c r="A40" s="74" t="s">
        <v>115</v>
      </c>
      <c r="B40" s="75" t="s">
        <v>116</v>
      </c>
      <c r="C40" s="74" t="s">
        <v>60</v>
      </c>
      <c r="D40" s="74"/>
      <c r="E40" s="74"/>
      <c r="F40" s="63"/>
      <c r="G40" s="81"/>
      <c r="H40" s="81"/>
    </row>
    <row r="41" spans="1:8" ht="47.25">
      <c r="A41" s="214" t="s">
        <v>28</v>
      </c>
      <c r="B41" s="215" t="s">
        <v>117</v>
      </c>
      <c r="C41" s="214" t="s">
        <v>60</v>
      </c>
      <c r="D41" s="214">
        <f>D42+D53+D54+D55+D57+D60+D69</f>
        <v>10143.4</v>
      </c>
      <c r="E41" s="214">
        <f>E42+E53+E54+E55+E57+E60+E69</f>
        <v>5075.75</v>
      </c>
      <c r="F41" s="214">
        <f>F42+F66+F54+F55+F57+F60+F69+F64+F68</f>
        <v>4444.3229999999994</v>
      </c>
      <c r="G41" s="69"/>
      <c r="H41" s="151" t="s">
        <v>173</v>
      </c>
    </row>
    <row r="42" spans="1:8" ht="25.5">
      <c r="A42" s="78">
        <v>7</v>
      </c>
      <c r="B42" s="75" t="s">
        <v>118</v>
      </c>
      <c r="C42" s="74" t="s">
        <v>60</v>
      </c>
      <c r="D42" s="74">
        <f>D49+D50+D51</f>
        <v>8328.4</v>
      </c>
      <c r="E42" s="74">
        <f>E49+E50+E51</f>
        <v>4164.2</v>
      </c>
      <c r="F42" s="74">
        <f>F49+F50+F51</f>
        <v>4119.3959999999997</v>
      </c>
      <c r="G42" s="69"/>
      <c r="H42" s="81"/>
    </row>
    <row r="43" spans="1:8">
      <c r="A43" s="74" t="s">
        <v>119</v>
      </c>
      <c r="B43" s="75" t="s">
        <v>63</v>
      </c>
      <c r="C43" s="74" t="s">
        <v>60</v>
      </c>
      <c r="D43" s="74"/>
      <c r="E43" s="74"/>
      <c r="F43" s="63"/>
      <c r="G43" s="69"/>
      <c r="H43" s="81"/>
    </row>
    <row r="44" spans="1:8">
      <c r="A44" s="74" t="s">
        <v>120</v>
      </c>
      <c r="B44" s="75" t="s">
        <v>16</v>
      </c>
      <c r="C44" s="74" t="s">
        <v>60</v>
      </c>
      <c r="D44" s="74"/>
      <c r="E44" s="74"/>
      <c r="F44" s="63"/>
      <c r="G44" s="69"/>
      <c r="H44" s="81"/>
    </row>
    <row r="45" spans="1:8">
      <c r="A45" s="74" t="s">
        <v>121</v>
      </c>
      <c r="B45" s="75" t="s">
        <v>66</v>
      </c>
      <c r="C45" s="74" t="s">
        <v>60</v>
      </c>
      <c r="D45" s="74"/>
      <c r="E45" s="74"/>
      <c r="F45" s="63"/>
      <c r="G45" s="69"/>
      <c r="H45" s="81"/>
    </row>
    <row r="46" spans="1:8">
      <c r="A46" s="74" t="s">
        <v>122</v>
      </c>
      <c r="B46" s="75" t="s">
        <v>68</v>
      </c>
      <c r="C46" s="74" t="s">
        <v>60</v>
      </c>
      <c r="D46" s="74"/>
      <c r="E46" s="74"/>
      <c r="F46" s="63"/>
      <c r="G46" s="69"/>
      <c r="H46" s="81"/>
    </row>
    <row r="47" spans="1:8">
      <c r="A47" s="74" t="s">
        <v>123</v>
      </c>
      <c r="B47" s="75" t="s">
        <v>70</v>
      </c>
      <c r="C47" s="74" t="s">
        <v>60</v>
      </c>
      <c r="D47" s="74"/>
      <c r="E47" s="74"/>
      <c r="F47" s="63"/>
      <c r="G47" s="69"/>
      <c r="H47" s="81"/>
    </row>
    <row r="48" spans="1:8">
      <c r="A48" s="74" t="s">
        <v>124</v>
      </c>
      <c r="B48" s="75" t="s">
        <v>72</v>
      </c>
      <c r="C48" s="74" t="s">
        <v>60</v>
      </c>
      <c r="D48" s="74"/>
      <c r="E48" s="74"/>
      <c r="F48" s="63"/>
      <c r="G48" s="69"/>
      <c r="H48" s="81"/>
    </row>
    <row r="49" spans="1:9">
      <c r="A49" s="74" t="s">
        <v>125</v>
      </c>
      <c r="B49" s="75" t="s">
        <v>126</v>
      </c>
      <c r="C49" s="74" t="s">
        <v>60</v>
      </c>
      <c r="D49" s="74">
        <v>7578.16</v>
      </c>
      <c r="E49" s="74">
        <f>7578.16/2</f>
        <v>3789.08</v>
      </c>
      <c r="F49" s="64">
        <v>3767.2</v>
      </c>
      <c r="G49" s="69"/>
      <c r="H49" s="81"/>
      <c r="I49" s="92"/>
    </row>
    <row r="50" spans="1:9">
      <c r="A50" s="74" t="s">
        <v>127</v>
      </c>
      <c r="B50" s="75" t="s">
        <v>76</v>
      </c>
      <c r="C50" s="74" t="s">
        <v>60</v>
      </c>
      <c r="D50" s="74">
        <v>409.22</v>
      </c>
      <c r="E50" s="74">
        <f>409.22/2</f>
        <v>204.61</v>
      </c>
      <c r="F50" s="64">
        <v>231.23599999999999</v>
      </c>
      <c r="G50" s="69"/>
      <c r="H50" s="81"/>
      <c r="I50" s="92"/>
    </row>
    <row r="51" spans="1:9">
      <c r="A51" s="74" t="s">
        <v>128</v>
      </c>
      <c r="B51" s="75" t="s">
        <v>129</v>
      </c>
      <c r="C51" s="74" t="s">
        <v>60</v>
      </c>
      <c r="D51" s="74">
        <v>341.02</v>
      </c>
      <c r="E51" s="74">
        <f>341.02/2</f>
        <v>170.51</v>
      </c>
      <c r="F51" s="64">
        <v>120.96</v>
      </c>
      <c r="G51" s="69"/>
      <c r="H51" s="81"/>
      <c r="I51" s="92"/>
    </row>
    <row r="52" spans="1:9">
      <c r="A52" s="74" t="s">
        <v>130</v>
      </c>
      <c r="B52" s="75" t="s">
        <v>20</v>
      </c>
      <c r="C52" s="74"/>
      <c r="D52" s="74"/>
      <c r="E52" s="74"/>
      <c r="F52" s="64"/>
      <c r="G52" s="69"/>
      <c r="H52" s="81"/>
      <c r="I52" s="92"/>
    </row>
    <row r="53" spans="1:9">
      <c r="A53" s="74" t="s">
        <v>131</v>
      </c>
      <c r="B53" s="75" t="s">
        <v>108</v>
      </c>
      <c r="C53" s="74"/>
      <c r="D53" s="74"/>
      <c r="E53" s="74"/>
      <c r="F53" s="13"/>
      <c r="G53" s="69"/>
      <c r="H53" s="81"/>
      <c r="I53" s="92"/>
    </row>
    <row r="54" spans="1:9">
      <c r="A54" s="74" t="s">
        <v>132</v>
      </c>
      <c r="B54" s="75" t="s">
        <v>133</v>
      </c>
      <c r="C54" s="74" t="s">
        <v>60</v>
      </c>
      <c r="D54" s="74"/>
      <c r="E54" s="74"/>
      <c r="F54" s="64"/>
      <c r="G54" s="69"/>
      <c r="H54" s="81"/>
      <c r="I54" s="92"/>
    </row>
    <row r="55" spans="1:9">
      <c r="A55" s="74" t="s">
        <v>134</v>
      </c>
      <c r="B55" s="75" t="s">
        <v>106</v>
      </c>
      <c r="C55" s="74"/>
      <c r="D55" s="74"/>
      <c r="E55" s="74"/>
      <c r="F55" s="64"/>
      <c r="G55" s="69"/>
      <c r="H55" s="81"/>
      <c r="I55" s="92"/>
    </row>
    <row r="56" spans="1:9">
      <c r="A56" s="74" t="s">
        <v>135</v>
      </c>
      <c r="B56" s="75" t="s">
        <v>91</v>
      </c>
      <c r="C56" s="74" t="s">
        <v>60</v>
      </c>
      <c r="D56" s="74"/>
      <c r="E56" s="74"/>
      <c r="F56" s="64"/>
      <c r="G56" s="69"/>
      <c r="H56" s="81"/>
    </row>
    <row r="57" spans="1:9">
      <c r="A57" s="74" t="s">
        <v>136</v>
      </c>
      <c r="B57" s="75" t="s">
        <v>39</v>
      </c>
      <c r="C57" s="74" t="s">
        <v>60</v>
      </c>
      <c r="D57" s="74"/>
      <c r="E57" s="74"/>
      <c r="F57" s="64"/>
      <c r="G57" s="81"/>
      <c r="H57" s="81"/>
      <c r="I57" s="92"/>
    </row>
    <row r="58" spans="1:9">
      <c r="A58" s="74" t="s">
        <v>137</v>
      </c>
      <c r="B58" s="75" t="s">
        <v>138</v>
      </c>
      <c r="C58" s="74" t="s">
        <v>60</v>
      </c>
      <c r="D58" s="74"/>
      <c r="E58" s="74"/>
      <c r="F58" s="64"/>
      <c r="G58" s="81"/>
      <c r="H58" s="81"/>
    </row>
    <row r="59" spans="1:9">
      <c r="A59" s="74" t="s">
        <v>139</v>
      </c>
      <c r="B59" s="75" t="s">
        <v>89</v>
      </c>
      <c r="C59" s="74" t="s">
        <v>60</v>
      </c>
      <c r="D59" s="74"/>
      <c r="E59" s="74"/>
      <c r="F59" s="64"/>
      <c r="G59" s="81"/>
      <c r="H59" s="81"/>
    </row>
    <row r="60" spans="1:9">
      <c r="A60" s="74" t="s">
        <v>140</v>
      </c>
      <c r="B60" s="75" t="s">
        <v>141</v>
      </c>
      <c r="C60" s="74" t="s">
        <v>60</v>
      </c>
      <c r="D60" s="214">
        <v>8.1</v>
      </c>
      <c r="E60" s="214">
        <v>8.1</v>
      </c>
      <c r="F60" s="60">
        <f>F61+F62+F63</f>
        <v>0</v>
      </c>
      <c r="G60" s="81"/>
      <c r="H60" s="81"/>
    </row>
    <row r="61" spans="1:9" ht="25.5">
      <c r="A61" s="74" t="s">
        <v>142</v>
      </c>
      <c r="B61" s="75" t="s">
        <v>143</v>
      </c>
      <c r="C61" s="74" t="s">
        <v>60</v>
      </c>
      <c r="D61" s="74"/>
      <c r="E61" s="74"/>
      <c r="F61" s="64"/>
      <c r="G61" s="81"/>
      <c r="H61" s="81"/>
    </row>
    <row r="62" spans="1:9" ht="25.5">
      <c r="A62" s="74" t="s">
        <v>144</v>
      </c>
      <c r="B62" s="75" t="s">
        <v>145</v>
      </c>
      <c r="C62" s="74" t="s">
        <v>60</v>
      </c>
      <c r="D62" s="74">
        <v>8.1</v>
      </c>
      <c r="E62" s="74">
        <f>8.1/2</f>
        <v>4.05</v>
      </c>
      <c r="F62" s="64"/>
      <c r="G62" s="81"/>
      <c r="H62" s="81"/>
    </row>
    <row r="63" spans="1:9" ht="25.5">
      <c r="A63" s="74" t="s">
        <v>146</v>
      </c>
      <c r="B63" s="75" t="s">
        <v>147</v>
      </c>
      <c r="C63" s="74" t="s">
        <v>60</v>
      </c>
      <c r="D63" s="74"/>
      <c r="E63" s="74"/>
      <c r="F63" s="64"/>
      <c r="G63" s="81"/>
      <c r="H63" s="81"/>
    </row>
    <row r="64" spans="1:9">
      <c r="A64" s="74" t="s">
        <v>148</v>
      </c>
      <c r="B64" s="75" t="s">
        <v>149</v>
      </c>
      <c r="C64" s="74" t="s">
        <v>60</v>
      </c>
      <c r="D64" s="74"/>
      <c r="E64" s="74"/>
      <c r="F64" s="64"/>
      <c r="G64" s="81"/>
      <c r="H64" s="81"/>
    </row>
    <row r="65" spans="1:8" ht="25.5">
      <c r="A65" s="79" t="s">
        <v>150</v>
      </c>
      <c r="B65" s="75" t="s">
        <v>151</v>
      </c>
      <c r="C65" s="74" t="s">
        <v>60</v>
      </c>
      <c r="D65" s="74"/>
      <c r="E65" s="74"/>
      <c r="F65" s="65">
        <f>F66+F68+F67</f>
        <v>0</v>
      </c>
      <c r="G65" s="81"/>
      <c r="H65" s="81"/>
    </row>
    <row r="66" spans="1:8">
      <c r="A66" s="79" t="s">
        <v>152</v>
      </c>
      <c r="B66" s="75" t="s">
        <v>153</v>
      </c>
      <c r="C66" s="74" t="s">
        <v>60</v>
      </c>
      <c r="D66" s="74"/>
      <c r="E66" s="74"/>
      <c r="F66" s="64"/>
      <c r="G66" s="69"/>
      <c r="H66" s="61"/>
    </row>
    <row r="67" spans="1:8">
      <c r="A67" s="79" t="s">
        <v>154</v>
      </c>
      <c r="B67" s="77" t="s">
        <v>114</v>
      </c>
      <c r="C67" s="74" t="s">
        <v>60</v>
      </c>
      <c r="D67" s="74"/>
      <c r="E67" s="74"/>
      <c r="F67" s="64"/>
      <c r="G67" s="61"/>
      <c r="H67" s="61"/>
    </row>
    <row r="68" spans="1:8">
      <c r="A68" s="79" t="s">
        <v>155</v>
      </c>
      <c r="B68" s="75" t="s">
        <v>156</v>
      </c>
      <c r="C68" s="74" t="s">
        <v>60</v>
      </c>
      <c r="D68" s="74"/>
      <c r="E68" s="74"/>
      <c r="F68" s="64"/>
      <c r="G68" s="61"/>
      <c r="H68" s="61"/>
    </row>
    <row r="69" spans="1:8">
      <c r="A69" s="79" t="s">
        <v>157</v>
      </c>
      <c r="B69" s="75" t="s">
        <v>116</v>
      </c>
      <c r="C69" s="74" t="s">
        <v>60</v>
      </c>
      <c r="D69" s="214">
        <f>D70+D71+D72+D73+D78+D74+D75+D76+D77</f>
        <v>1806.9</v>
      </c>
      <c r="E69" s="214">
        <f>E70+E71+E72+E73+E78+E74+E75+E76+E77</f>
        <v>903.45</v>
      </c>
      <c r="F69" s="60">
        <f>F70+F71+F72+F73+F78+F74+F75</f>
        <v>324.92700000000002</v>
      </c>
      <c r="G69" s="69"/>
      <c r="H69" s="61"/>
    </row>
    <row r="70" spans="1:8">
      <c r="A70" s="146" t="s">
        <v>210</v>
      </c>
      <c r="B70" s="147" t="s">
        <v>211</v>
      </c>
      <c r="C70" s="74" t="s">
        <v>60</v>
      </c>
      <c r="D70" s="148">
        <v>51</v>
      </c>
      <c r="E70" s="148">
        <f>51/2</f>
        <v>25.5</v>
      </c>
      <c r="F70" s="64">
        <v>17.684999999999999</v>
      </c>
      <c r="G70" s="149"/>
      <c r="H70" s="150"/>
    </row>
    <row r="71" spans="1:8">
      <c r="A71" s="146" t="s">
        <v>212</v>
      </c>
      <c r="B71" s="147" t="s">
        <v>213</v>
      </c>
      <c r="C71" s="74" t="s">
        <v>60</v>
      </c>
      <c r="D71" s="148">
        <v>16.100000000000001</v>
      </c>
      <c r="E71" s="148">
        <f>16.1/2</f>
        <v>8.0500000000000007</v>
      </c>
      <c r="F71" s="64">
        <v>33.866999999999997</v>
      </c>
      <c r="G71" s="149"/>
      <c r="H71" s="150"/>
    </row>
    <row r="72" spans="1:8">
      <c r="A72" s="146" t="s">
        <v>214</v>
      </c>
      <c r="B72" s="147" t="s">
        <v>216</v>
      </c>
      <c r="C72" s="74" t="s">
        <v>60</v>
      </c>
      <c r="D72" s="148">
        <v>12.4</v>
      </c>
      <c r="E72" s="148">
        <f>12.4/2</f>
        <v>6.2</v>
      </c>
      <c r="F72" s="64">
        <v>58.162999999999997</v>
      </c>
      <c r="G72" s="149"/>
      <c r="H72" s="150"/>
    </row>
    <row r="73" spans="1:8">
      <c r="A73" s="146" t="s">
        <v>215</v>
      </c>
      <c r="B73" s="147" t="s">
        <v>217</v>
      </c>
      <c r="C73" s="74" t="s">
        <v>60</v>
      </c>
      <c r="D73" s="148">
        <v>22.5</v>
      </c>
      <c r="E73" s="148">
        <f>22.5/2</f>
        <v>11.25</v>
      </c>
      <c r="F73" s="64">
        <v>7.6970000000000001</v>
      </c>
      <c r="G73" s="149"/>
      <c r="H73" s="150"/>
    </row>
    <row r="74" spans="1:8">
      <c r="A74" s="146"/>
      <c r="B74" s="147" t="s">
        <v>39</v>
      </c>
      <c r="C74" s="148" t="s">
        <v>60</v>
      </c>
      <c r="D74" s="148">
        <v>73.2</v>
      </c>
      <c r="E74" s="148">
        <f>73.2/2</f>
        <v>36.6</v>
      </c>
      <c r="F74" s="64"/>
      <c r="G74" s="149"/>
      <c r="H74" s="150"/>
    </row>
    <row r="75" spans="1:8">
      <c r="A75" s="146"/>
      <c r="B75" s="147" t="s">
        <v>108</v>
      </c>
      <c r="C75" s="148" t="s">
        <v>60</v>
      </c>
      <c r="D75" s="148">
        <v>176.4</v>
      </c>
      <c r="E75" s="148">
        <f>176.4/2</f>
        <v>88.2</v>
      </c>
      <c r="F75" s="64">
        <v>49.78</v>
      </c>
      <c r="G75" s="149"/>
      <c r="H75" s="150"/>
    </row>
    <row r="76" spans="1:8">
      <c r="A76" s="146"/>
      <c r="B76" s="147" t="s">
        <v>106</v>
      </c>
      <c r="C76" s="148" t="s">
        <v>60</v>
      </c>
      <c r="D76" s="148">
        <v>373.5</v>
      </c>
      <c r="E76" s="148">
        <f>373.5/2</f>
        <v>186.75</v>
      </c>
      <c r="F76" s="64">
        <v>334.09</v>
      </c>
      <c r="G76" s="149"/>
      <c r="H76" s="150"/>
    </row>
    <row r="77" spans="1:8">
      <c r="A77" s="146"/>
      <c r="B77" s="147" t="s">
        <v>33</v>
      </c>
      <c r="C77" s="148" t="s">
        <v>60</v>
      </c>
      <c r="D77" s="74">
        <v>228.6</v>
      </c>
      <c r="E77" s="74">
        <f>228.6/2</f>
        <v>114.3</v>
      </c>
      <c r="F77" s="64"/>
      <c r="G77" s="149"/>
      <c r="H77" s="150"/>
    </row>
    <row r="78" spans="1:8">
      <c r="A78" s="79" t="s">
        <v>158</v>
      </c>
      <c r="B78" s="75" t="s">
        <v>159</v>
      </c>
      <c r="C78" s="74" t="s">
        <v>60</v>
      </c>
      <c r="D78" s="74">
        <v>853.2</v>
      </c>
      <c r="E78" s="74">
        <f>853.2/2</f>
        <v>426.6</v>
      </c>
      <c r="F78" s="64">
        <v>157.73500000000001</v>
      </c>
      <c r="G78" s="69"/>
      <c r="H78" s="61"/>
    </row>
    <row r="79" spans="1:8">
      <c r="A79" s="214" t="s">
        <v>40</v>
      </c>
      <c r="B79" s="215" t="s">
        <v>41</v>
      </c>
      <c r="C79" s="214" t="s">
        <v>60</v>
      </c>
      <c r="D79" s="214">
        <f>D41</f>
        <v>10143.4</v>
      </c>
      <c r="E79" s="214">
        <f>E41</f>
        <v>5075.75</v>
      </c>
      <c r="F79" s="65">
        <f>F41+F7</f>
        <v>4444.3229999999994</v>
      </c>
      <c r="G79" s="69"/>
      <c r="H79" s="82"/>
    </row>
    <row r="80" spans="1:8">
      <c r="A80" s="214" t="s">
        <v>42</v>
      </c>
      <c r="B80" s="215" t="s">
        <v>160</v>
      </c>
      <c r="C80" s="214" t="s">
        <v>60</v>
      </c>
      <c r="D80" s="214"/>
      <c r="E80" s="214"/>
      <c r="F80" s="65">
        <f>F81-F79</f>
        <v>-358.78799999999956</v>
      </c>
      <c r="G80" s="69"/>
      <c r="H80" s="81"/>
    </row>
    <row r="81" spans="1:34" ht="47.25">
      <c r="A81" s="214" t="s">
        <v>44</v>
      </c>
      <c r="B81" s="215" t="s">
        <v>45</v>
      </c>
      <c r="C81" s="214" t="s">
        <v>60</v>
      </c>
      <c r="D81" s="60">
        <v>10143.4</v>
      </c>
      <c r="E81" s="60">
        <f>10143.4/2</f>
        <v>5071.7</v>
      </c>
      <c r="F81" s="65">
        <v>4085.5349999999999</v>
      </c>
      <c r="G81" s="69"/>
      <c r="H81" s="70" t="s">
        <v>173</v>
      </c>
    </row>
    <row r="82" spans="1:34">
      <c r="A82" s="251" t="s">
        <v>46</v>
      </c>
      <c r="B82" s="252" t="s">
        <v>161</v>
      </c>
      <c r="C82" s="214" t="s">
        <v>162</v>
      </c>
      <c r="D82" s="62">
        <v>8645</v>
      </c>
      <c r="E82" s="62">
        <f>8645/2</f>
        <v>4322.5</v>
      </c>
      <c r="F82" s="66">
        <v>3483</v>
      </c>
      <c r="G82" s="69"/>
      <c r="H82" s="81"/>
    </row>
    <row r="83" spans="1:34">
      <c r="A83" s="251"/>
      <c r="B83" s="252"/>
      <c r="C83" s="214" t="s">
        <v>163</v>
      </c>
      <c r="D83" s="214"/>
      <c r="E83" s="214"/>
      <c r="F83" s="223"/>
      <c r="G83" s="81"/>
      <c r="H83" s="81"/>
    </row>
    <row r="84" spans="1:34">
      <c r="A84" s="251"/>
      <c r="B84" s="252"/>
      <c r="C84" s="214" t="s">
        <v>164</v>
      </c>
      <c r="D84" s="214"/>
      <c r="E84" s="214"/>
      <c r="F84" s="223"/>
      <c r="G84" s="81"/>
      <c r="H84" s="81"/>
    </row>
    <row r="85" spans="1:34">
      <c r="A85" s="251"/>
      <c r="B85" s="252"/>
      <c r="C85" s="214" t="s">
        <v>60</v>
      </c>
      <c r="D85" s="214"/>
      <c r="E85" s="214"/>
      <c r="F85" s="66"/>
      <c r="G85" s="82"/>
      <c r="H85" s="82"/>
    </row>
    <row r="86" spans="1:34">
      <c r="A86" s="220"/>
      <c r="B86" s="221" t="s">
        <v>219</v>
      </c>
      <c r="C86" s="220" t="s">
        <v>220</v>
      </c>
      <c r="D86" s="159">
        <f>D79/D82</f>
        <v>1.1733256217466743</v>
      </c>
      <c r="E86" s="159">
        <f>E79/E82</f>
        <v>1.1742625795257373</v>
      </c>
      <c r="F86" s="158">
        <f>F79/F82</f>
        <v>1.2760043066322135</v>
      </c>
      <c r="G86" s="145"/>
      <c r="H86" s="145"/>
    </row>
    <row r="87" spans="1:34">
      <c r="A87" s="83" t="s">
        <v>165</v>
      </c>
      <c r="B87" s="82" t="s">
        <v>166</v>
      </c>
      <c r="C87" s="83" t="s">
        <v>167</v>
      </c>
      <c r="D87" s="83"/>
      <c r="E87" s="83"/>
      <c r="F87" s="67"/>
      <c r="G87" s="81"/>
      <c r="H87" s="81"/>
    </row>
    <row r="88" spans="1:34">
      <c r="A88" s="81"/>
      <c r="B88" s="81" t="s">
        <v>168</v>
      </c>
      <c r="C88" s="84" t="s">
        <v>167</v>
      </c>
      <c r="D88" s="84">
        <v>5</v>
      </c>
      <c r="E88" s="84">
        <v>5</v>
      </c>
      <c r="F88" s="68">
        <v>5</v>
      </c>
      <c r="G88" s="81"/>
      <c r="H88" s="81"/>
    </row>
    <row r="89" spans="1:34">
      <c r="A89" s="82"/>
      <c r="B89" s="81" t="s">
        <v>169</v>
      </c>
      <c r="C89" s="84" t="s">
        <v>167</v>
      </c>
      <c r="D89" s="84"/>
      <c r="E89" s="84"/>
      <c r="F89" s="68"/>
      <c r="G89" s="82"/>
      <c r="H89" s="82"/>
    </row>
    <row r="91" spans="1:34">
      <c r="A91" s="173" t="s">
        <v>275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</row>
    <row r="92" spans="1:34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</row>
    <row r="93" spans="1:34">
      <c r="A93" s="173" t="s">
        <v>274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</row>
    <row r="94" spans="1:34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</row>
    <row r="95" spans="1:34">
      <c r="B95" s="114" t="s">
        <v>277</v>
      </c>
    </row>
  </sheetData>
  <mergeCells count="3">
    <mergeCell ref="A3:H5"/>
    <mergeCell ref="A82:A85"/>
    <mergeCell ref="B82:B85"/>
  </mergeCells>
  <pageMargins left="0.7" right="0.7" top="0.75" bottom="0.75" header="0.3" footer="0.3"/>
  <pageSetup paperSize="9" scale="66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92"/>
  <sheetViews>
    <sheetView view="pageBreakPreview" zoomScale="60" zoomScaleNormal="100" workbookViewId="0">
      <selection activeCell="A4" sqref="A4:F4"/>
    </sheetView>
  </sheetViews>
  <sheetFormatPr defaultRowHeight="15"/>
  <cols>
    <col min="1" max="1" width="8.7109375" style="114" customWidth="1"/>
    <col min="2" max="2" width="37.42578125" style="114" customWidth="1"/>
    <col min="3" max="3" width="11.42578125" style="114" customWidth="1"/>
    <col min="4" max="4" width="15.28515625" style="114" customWidth="1"/>
    <col min="5" max="5" width="16.5703125" style="114" customWidth="1"/>
    <col min="6" max="6" width="14" style="114" customWidth="1"/>
    <col min="7" max="16384" width="9.140625" style="114"/>
  </cols>
  <sheetData>
    <row r="1" spans="1:9" ht="19.5">
      <c r="F1" s="222" t="s">
        <v>54</v>
      </c>
    </row>
    <row r="3" spans="1:9" ht="18.75">
      <c r="A3" s="253" t="s">
        <v>278</v>
      </c>
      <c r="B3" s="253"/>
      <c r="C3" s="253"/>
      <c r="D3" s="253"/>
      <c r="E3" s="253"/>
      <c r="F3" s="253"/>
    </row>
    <row r="4" spans="1:9" ht="18.75">
      <c r="A4" s="253" t="s">
        <v>55</v>
      </c>
      <c r="B4" s="253"/>
      <c r="C4" s="253"/>
      <c r="D4" s="253"/>
      <c r="E4" s="253"/>
      <c r="F4" s="253"/>
    </row>
    <row r="5" spans="1:9">
      <c r="A5" s="254" t="s">
        <v>222</v>
      </c>
      <c r="B5" s="254"/>
      <c r="C5" s="254"/>
      <c r="D5" s="254"/>
      <c r="E5" s="254"/>
      <c r="F5" s="254"/>
    </row>
    <row r="6" spans="1:9" ht="45">
      <c r="A6" s="224" t="s">
        <v>0</v>
      </c>
      <c r="B6" s="224" t="s">
        <v>56</v>
      </c>
      <c r="C6" s="224" t="s">
        <v>57</v>
      </c>
      <c r="D6" s="144" t="s">
        <v>208</v>
      </c>
      <c r="E6" s="17" t="s">
        <v>209</v>
      </c>
      <c r="F6" s="86" t="s">
        <v>174</v>
      </c>
    </row>
    <row r="7" spans="1:9" ht="38.25">
      <c r="A7" s="214" t="s">
        <v>58</v>
      </c>
      <c r="B7" s="215" t="s">
        <v>59</v>
      </c>
      <c r="C7" s="214" t="s">
        <v>60</v>
      </c>
      <c r="D7" s="80"/>
      <c r="E7" s="80"/>
      <c r="F7" s="80">
        <v>0</v>
      </c>
      <c r="G7" s="91"/>
      <c r="H7" s="91"/>
      <c r="I7" s="91"/>
    </row>
    <row r="8" spans="1:9" ht="25.5">
      <c r="A8" s="78">
        <v>1</v>
      </c>
      <c r="B8" s="75" t="s">
        <v>61</v>
      </c>
      <c r="C8" s="74" t="s">
        <v>60</v>
      </c>
      <c r="D8" s="85"/>
      <c r="E8" s="85"/>
      <c r="F8" s="80">
        <v>0</v>
      </c>
    </row>
    <row r="9" spans="1:9">
      <c r="A9" s="74" t="s">
        <v>62</v>
      </c>
      <c r="B9" s="75" t="s">
        <v>63</v>
      </c>
      <c r="C9" s="74" t="s">
        <v>60</v>
      </c>
      <c r="D9" s="76"/>
      <c r="E9" s="76"/>
      <c r="F9" s="80">
        <v>0</v>
      </c>
    </row>
    <row r="10" spans="1:9">
      <c r="A10" s="74" t="s">
        <v>64</v>
      </c>
      <c r="B10" s="75" t="s">
        <v>16</v>
      </c>
      <c r="C10" s="74" t="s">
        <v>60</v>
      </c>
      <c r="D10" s="76"/>
      <c r="E10" s="76"/>
      <c r="F10" s="80">
        <v>0</v>
      </c>
    </row>
    <row r="11" spans="1:9">
      <c r="A11" s="74" t="s">
        <v>65</v>
      </c>
      <c r="B11" s="75" t="s">
        <v>66</v>
      </c>
      <c r="C11" s="74" t="s">
        <v>60</v>
      </c>
      <c r="D11" s="76"/>
      <c r="E11" s="76"/>
      <c r="F11" s="80">
        <v>0</v>
      </c>
    </row>
    <row r="12" spans="1:9">
      <c r="A12" s="74" t="s">
        <v>67</v>
      </c>
      <c r="B12" s="75" t="s">
        <v>68</v>
      </c>
      <c r="C12" s="74" t="s">
        <v>60</v>
      </c>
      <c r="D12" s="76"/>
      <c r="E12" s="76"/>
      <c r="F12" s="80">
        <v>0</v>
      </c>
    </row>
    <row r="13" spans="1:9">
      <c r="A13" s="74" t="s">
        <v>69</v>
      </c>
      <c r="B13" s="75" t="s">
        <v>70</v>
      </c>
      <c r="C13" s="74" t="s">
        <v>60</v>
      </c>
      <c r="D13" s="76"/>
      <c r="E13" s="76"/>
      <c r="F13" s="80">
        <v>0</v>
      </c>
    </row>
    <row r="14" spans="1:9">
      <c r="A14" s="74" t="s">
        <v>71</v>
      </c>
      <c r="B14" s="75" t="s">
        <v>72</v>
      </c>
      <c r="C14" s="74" t="s">
        <v>60</v>
      </c>
      <c r="D14" s="76"/>
      <c r="E14" s="76"/>
      <c r="F14" s="80">
        <v>0</v>
      </c>
    </row>
    <row r="15" spans="1:9" ht="25.5">
      <c r="A15" s="78">
        <v>2</v>
      </c>
      <c r="B15" s="75" t="s">
        <v>73</v>
      </c>
      <c r="C15" s="74" t="s">
        <v>60</v>
      </c>
      <c r="D15" s="85"/>
      <c r="E15" s="85"/>
      <c r="F15" s="80">
        <v>0</v>
      </c>
    </row>
    <row r="16" spans="1:9">
      <c r="A16" s="74" t="s">
        <v>74</v>
      </c>
      <c r="B16" s="75" t="s">
        <v>18</v>
      </c>
      <c r="C16" s="74" t="s">
        <v>60</v>
      </c>
      <c r="D16" s="76"/>
      <c r="E16" s="76"/>
      <c r="F16" s="80">
        <v>0</v>
      </c>
      <c r="I16" s="92"/>
    </row>
    <row r="17" spans="1:9">
      <c r="A17" s="74" t="s">
        <v>75</v>
      </c>
      <c r="B17" s="75" t="s">
        <v>76</v>
      </c>
      <c r="C17" s="74" t="s">
        <v>60</v>
      </c>
      <c r="D17" s="76"/>
      <c r="E17" s="76"/>
      <c r="F17" s="80">
        <v>0</v>
      </c>
      <c r="I17" s="92"/>
    </row>
    <row r="18" spans="1:9">
      <c r="A18" s="74" t="s">
        <v>77</v>
      </c>
      <c r="B18" s="77" t="s">
        <v>78</v>
      </c>
      <c r="C18" s="74" t="s">
        <v>60</v>
      </c>
      <c r="D18" s="76"/>
      <c r="E18" s="76"/>
      <c r="F18" s="80">
        <v>0</v>
      </c>
      <c r="I18" s="92"/>
    </row>
    <row r="19" spans="1:9">
      <c r="A19" s="78">
        <v>3</v>
      </c>
      <c r="B19" s="75" t="s">
        <v>20</v>
      </c>
      <c r="C19" s="74" t="s">
        <v>60</v>
      </c>
      <c r="D19" s="85"/>
      <c r="E19" s="85"/>
      <c r="F19" s="80">
        <v>0</v>
      </c>
      <c r="I19" s="92"/>
    </row>
    <row r="20" spans="1:9" ht="25.5">
      <c r="A20" s="78">
        <v>4</v>
      </c>
      <c r="B20" s="75" t="s">
        <v>79</v>
      </c>
      <c r="C20" s="74" t="s">
        <v>60</v>
      </c>
      <c r="D20" s="85"/>
      <c r="E20" s="85"/>
      <c r="F20" s="80">
        <v>0</v>
      </c>
    </row>
    <row r="21" spans="1:9">
      <c r="A21" s="74" t="s">
        <v>80</v>
      </c>
      <c r="B21" s="75" t="s">
        <v>172</v>
      </c>
      <c r="C21" s="74" t="s">
        <v>60</v>
      </c>
      <c r="D21" s="76"/>
      <c r="E21" s="76"/>
      <c r="F21" s="80">
        <v>0</v>
      </c>
    </row>
    <row r="22" spans="1:9" ht="12.75" hidden="1" customHeight="1">
      <c r="A22" s="74" t="s">
        <v>81</v>
      </c>
      <c r="B22" s="75" t="s">
        <v>82</v>
      </c>
      <c r="C22" s="74" t="s">
        <v>60</v>
      </c>
      <c r="D22" s="76"/>
      <c r="E22" s="76"/>
      <c r="F22" s="80">
        <v>0</v>
      </c>
    </row>
    <row r="23" spans="1:9" ht="25.5">
      <c r="A23" s="78">
        <v>5</v>
      </c>
      <c r="B23" s="75" t="s">
        <v>83</v>
      </c>
      <c r="C23" s="74" t="s">
        <v>60</v>
      </c>
      <c r="D23" s="85"/>
      <c r="E23" s="85"/>
      <c r="F23" s="80">
        <v>0</v>
      </c>
    </row>
    <row r="24" spans="1:9" ht="34.5" customHeight="1">
      <c r="A24" s="78" t="s">
        <v>84</v>
      </c>
      <c r="B24" s="75" t="s">
        <v>85</v>
      </c>
      <c r="C24" s="74" t="s">
        <v>60</v>
      </c>
      <c r="D24" s="76"/>
      <c r="E24" s="76"/>
      <c r="F24" s="80">
        <v>0</v>
      </c>
    </row>
    <row r="25" spans="1:9">
      <c r="A25" s="78" t="s">
        <v>86</v>
      </c>
      <c r="B25" s="75" t="s">
        <v>87</v>
      </c>
      <c r="C25" s="74" t="s">
        <v>60</v>
      </c>
      <c r="D25" s="76"/>
      <c r="E25" s="76"/>
      <c r="F25" s="80">
        <v>0</v>
      </c>
    </row>
    <row r="26" spans="1:9" ht="19.5" customHeight="1">
      <c r="A26" s="78" t="s">
        <v>88</v>
      </c>
      <c r="B26" s="75" t="s">
        <v>89</v>
      </c>
      <c r="C26" s="74" t="s">
        <v>60</v>
      </c>
      <c r="D26" s="76"/>
      <c r="E26" s="76"/>
      <c r="F26" s="80">
        <v>0</v>
      </c>
    </row>
    <row r="27" spans="1:9">
      <c r="A27" s="78" t="s">
        <v>90</v>
      </c>
      <c r="B27" s="75" t="s">
        <v>91</v>
      </c>
      <c r="C27" s="74" t="s">
        <v>60</v>
      </c>
      <c r="D27" s="76"/>
      <c r="E27" s="76"/>
      <c r="F27" s="80">
        <v>0</v>
      </c>
    </row>
    <row r="28" spans="1:9" hidden="1">
      <c r="A28" s="78" t="s">
        <v>92</v>
      </c>
      <c r="B28" s="75" t="s">
        <v>93</v>
      </c>
      <c r="C28" s="74" t="s">
        <v>60</v>
      </c>
      <c r="D28" s="76"/>
      <c r="E28" s="76"/>
      <c r="F28" s="80">
        <v>0</v>
      </c>
    </row>
    <row r="29" spans="1:9">
      <c r="A29" s="78" t="s">
        <v>94</v>
      </c>
      <c r="B29" s="75" t="s">
        <v>95</v>
      </c>
      <c r="C29" s="74" t="s">
        <v>60</v>
      </c>
      <c r="D29" s="76"/>
      <c r="E29" s="76"/>
      <c r="F29" s="80">
        <v>0</v>
      </c>
    </row>
    <row r="30" spans="1:9" ht="16.5" customHeight="1">
      <c r="A30" s="78" t="s">
        <v>96</v>
      </c>
      <c r="B30" s="75" t="s">
        <v>97</v>
      </c>
      <c r="C30" s="74" t="s">
        <v>60</v>
      </c>
      <c r="D30" s="76"/>
      <c r="E30" s="76"/>
      <c r="F30" s="80">
        <v>0</v>
      </c>
    </row>
    <row r="31" spans="1:9">
      <c r="A31" s="78" t="s">
        <v>98</v>
      </c>
      <c r="B31" s="75" t="s">
        <v>99</v>
      </c>
      <c r="C31" s="74" t="s">
        <v>60</v>
      </c>
      <c r="D31" s="76"/>
      <c r="E31" s="76"/>
      <c r="F31" s="80">
        <v>0</v>
      </c>
    </row>
    <row r="32" spans="1:9" ht="25.5" hidden="1">
      <c r="A32" s="78" t="s">
        <v>100</v>
      </c>
      <c r="B32" s="75" t="s">
        <v>101</v>
      </c>
      <c r="C32" s="74" t="s">
        <v>60</v>
      </c>
      <c r="D32" s="76"/>
      <c r="E32" s="76"/>
      <c r="F32" s="80">
        <v>0</v>
      </c>
    </row>
    <row r="33" spans="1:6" ht="25.5">
      <c r="A33" s="78">
        <v>6</v>
      </c>
      <c r="B33" s="75" t="s">
        <v>102</v>
      </c>
      <c r="C33" s="74" t="s">
        <v>60</v>
      </c>
      <c r="D33" s="85"/>
      <c r="E33" s="85"/>
      <c r="F33" s="80">
        <v>0</v>
      </c>
    </row>
    <row r="34" spans="1:6">
      <c r="A34" s="74" t="s">
        <v>103</v>
      </c>
      <c r="B34" s="75" t="s">
        <v>104</v>
      </c>
      <c r="C34" s="74" t="s">
        <v>60</v>
      </c>
      <c r="D34" s="76"/>
      <c r="E34" s="76"/>
      <c r="F34" s="80">
        <v>0</v>
      </c>
    </row>
    <row r="35" spans="1:6">
      <c r="A35" s="74" t="s">
        <v>105</v>
      </c>
      <c r="B35" s="75" t="s">
        <v>106</v>
      </c>
      <c r="C35" s="74" t="s">
        <v>60</v>
      </c>
      <c r="D35" s="76"/>
      <c r="E35" s="76"/>
      <c r="F35" s="80">
        <v>0</v>
      </c>
    </row>
    <row r="36" spans="1:6">
      <c r="A36" s="74" t="s">
        <v>107</v>
      </c>
      <c r="B36" s="75" t="s">
        <v>108</v>
      </c>
      <c r="C36" s="74" t="s">
        <v>60</v>
      </c>
      <c r="D36" s="76"/>
      <c r="E36" s="76"/>
      <c r="F36" s="80">
        <v>0</v>
      </c>
    </row>
    <row r="37" spans="1:6">
      <c r="A37" s="74" t="s">
        <v>109</v>
      </c>
      <c r="B37" s="75" t="s">
        <v>110</v>
      </c>
      <c r="C37" s="74" t="s">
        <v>60</v>
      </c>
      <c r="D37" s="76"/>
      <c r="E37" s="76"/>
      <c r="F37" s="80">
        <v>0</v>
      </c>
    </row>
    <row r="38" spans="1:6">
      <c r="A38" s="74" t="s">
        <v>111</v>
      </c>
      <c r="B38" s="75" t="s">
        <v>112</v>
      </c>
      <c r="C38" s="74" t="s">
        <v>60</v>
      </c>
      <c r="D38" s="76"/>
      <c r="E38" s="76"/>
      <c r="F38" s="80">
        <v>0</v>
      </c>
    </row>
    <row r="39" spans="1:6">
      <c r="A39" s="74" t="s">
        <v>113</v>
      </c>
      <c r="B39" s="77" t="s">
        <v>114</v>
      </c>
      <c r="C39" s="74" t="s">
        <v>60</v>
      </c>
      <c r="D39" s="76"/>
      <c r="E39" s="76"/>
      <c r="F39" s="80">
        <v>0</v>
      </c>
    </row>
    <row r="40" spans="1:6">
      <c r="A40" s="74" t="s">
        <v>115</v>
      </c>
      <c r="B40" s="75" t="s">
        <v>116</v>
      </c>
      <c r="C40" s="74" t="s">
        <v>60</v>
      </c>
      <c r="D40" s="76"/>
      <c r="E40" s="76"/>
      <c r="F40" s="80">
        <v>0</v>
      </c>
    </row>
    <row r="41" spans="1:6" ht="25.5">
      <c r="A41" s="214" t="s">
        <v>28</v>
      </c>
      <c r="B41" s="215" t="s">
        <v>117</v>
      </c>
      <c r="C41" s="214" t="s">
        <v>60</v>
      </c>
      <c r="D41" s="214">
        <f>D42</f>
        <v>433.4</v>
      </c>
      <c r="E41" s="214">
        <f>E42</f>
        <v>420.97899999999998</v>
      </c>
      <c r="F41" s="80">
        <v>225.97499999999999</v>
      </c>
    </row>
    <row r="42" spans="1:6" ht="25.5">
      <c r="A42" s="78">
        <v>7</v>
      </c>
      <c r="B42" s="75" t="s">
        <v>118</v>
      </c>
      <c r="C42" s="74" t="s">
        <v>60</v>
      </c>
      <c r="D42" s="74">
        <f>D49+D50</f>
        <v>433.4</v>
      </c>
      <c r="E42" s="74">
        <f>E49+E50+E51</f>
        <v>420.97899999999998</v>
      </c>
      <c r="F42" s="80">
        <v>225.97499999999999</v>
      </c>
    </row>
    <row r="43" spans="1:6">
      <c r="A43" s="74" t="s">
        <v>119</v>
      </c>
      <c r="B43" s="75" t="s">
        <v>63</v>
      </c>
      <c r="C43" s="74"/>
      <c r="D43" s="85"/>
      <c r="E43" s="85"/>
      <c r="F43" s="80">
        <v>0</v>
      </c>
    </row>
    <row r="44" spans="1:6">
      <c r="A44" s="74" t="s">
        <v>120</v>
      </c>
      <c r="B44" s="75" t="s">
        <v>16</v>
      </c>
      <c r="C44" s="74"/>
      <c r="D44" s="85"/>
      <c r="E44" s="85"/>
      <c r="F44" s="80">
        <v>0</v>
      </c>
    </row>
    <row r="45" spans="1:6">
      <c r="A45" s="74" t="s">
        <v>121</v>
      </c>
      <c r="B45" s="75" t="s">
        <v>66</v>
      </c>
      <c r="C45" s="74"/>
      <c r="D45" s="85"/>
      <c r="E45" s="85"/>
      <c r="F45" s="80">
        <v>0</v>
      </c>
    </row>
    <row r="46" spans="1:6">
      <c r="A46" s="74" t="s">
        <v>122</v>
      </c>
      <c r="B46" s="75" t="s">
        <v>68</v>
      </c>
      <c r="C46" s="74"/>
      <c r="D46" s="85"/>
      <c r="E46" s="85"/>
      <c r="F46" s="80">
        <v>0</v>
      </c>
    </row>
    <row r="47" spans="1:6">
      <c r="A47" s="74" t="s">
        <v>123</v>
      </c>
      <c r="B47" s="75" t="s">
        <v>70</v>
      </c>
      <c r="C47" s="74"/>
      <c r="D47" s="85"/>
      <c r="E47" s="85"/>
      <c r="F47" s="80">
        <v>0</v>
      </c>
    </row>
    <row r="48" spans="1:6">
      <c r="A48" s="74" t="s">
        <v>124</v>
      </c>
      <c r="B48" s="75" t="s">
        <v>72</v>
      </c>
      <c r="C48" s="74"/>
      <c r="D48" s="85"/>
      <c r="E48" s="85"/>
      <c r="F48" s="80">
        <v>0</v>
      </c>
    </row>
    <row r="49" spans="1:9" ht="25.5">
      <c r="A49" s="74" t="s">
        <v>125</v>
      </c>
      <c r="B49" s="75" t="s">
        <v>126</v>
      </c>
      <c r="C49" s="74" t="s">
        <v>60</v>
      </c>
      <c r="D49" s="87">
        <v>394.4</v>
      </c>
      <c r="E49" s="157">
        <v>376.71899999999999</v>
      </c>
      <c r="F49" s="80">
        <v>205.60199999999998</v>
      </c>
      <c r="I49" s="92"/>
    </row>
    <row r="50" spans="1:9">
      <c r="A50" s="74" t="s">
        <v>127</v>
      </c>
      <c r="B50" s="75" t="s">
        <v>76</v>
      </c>
      <c r="C50" s="74" t="s">
        <v>60</v>
      </c>
      <c r="D50" s="87">
        <v>39</v>
      </c>
      <c r="E50" s="157">
        <v>32.945</v>
      </c>
      <c r="F50" s="80">
        <v>26.928000000000001</v>
      </c>
      <c r="G50" s="92"/>
      <c r="I50" s="92"/>
    </row>
    <row r="51" spans="1:9" hidden="1">
      <c r="A51" s="74" t="s">
        <v>128</v>
      </c>
      <c r="B51" s="75" t="s">
        <v>129</v>
      </c>
      <c r="C51" s="74" t="s">
        <v>60</v>
      </c>
      <c r="D51" s="87"/>
      <c r="E51" s="157">
        <v>11.315</v>
      </c>
      <c r="F51" s="80">
        <v>-6.5549999999999997</v>
      </c>
      <c r="I51" s="92"/>
    </row>
    <row r="52" spans="1:9">
      <c r="A52" s="74" t="s">
        <v>130</v>
      </c>
      <c r="B52" s="75" t="s">
        <v>20</v>
      </c>
      <c r="C52" s="74"/>
      <c r="D52" s="76"/>
      <c r="E52" s="76"/>
      <c r="F52" s="80">
        <v>0</v>
      </c>
      <c r="I52" s="92"/>
    </row>
    <row r="53" spans="1:9">
      <c r="A53" s="74" t="s">
        <v>131</v>
      </c>
      <c r="B53" s="75" t="s">
        <v>108</v>
      </c>
      <c r="C53" s="74"/>
      <c r="D53" s="76"/>
      <c r="E53" s="76"/>
      <c r="F53" s="80">
        <v>0</v>
      </c>
      <c r="I53" s="92"/>
    </row>
    <row r="54" spans="1:9">
      <c r="A54" s="74" t="s">
        <v>132</v>
      </c>
      <c r="B54" s="75" t="s">
        <v>133</v>
      </c>
      <c r="C54" s="74" t="s">
        <v>60</v>
      </c>
      <c r="D54" s="76"/>
      <c r="E54" s="76"/>
      <c r="F54" s="80">
        <v>0</v>
      </c>
      <c r="I54" s="92"/>
    </row>
    <row r="55" spans="1:9">
      <c r="A55" s="74" t="s">
        <v>134</v>
      </c>
      <c r="B55" s="75" t="s">
        <v>106</v>
      </c>
      <c r="C55" s="74"/>
      <c r="D55" s="76"/>
      <c r="E55" s="76"/>
      <c r="F55" s="80">
        <v>0</v>
      </c>
      <c r="I55" s="92"/>
    </row>
    <row r="56" spans="1:9">
      <c r="A56" s="74" t="s">
        <v>135</v>
      </c>
      <c r="B56" s="75" t="s">
        <v>91</v>
      </c>
      <c r="C56" s="74" t="s">
        <v>60</v>
      </c>
      <c r="D56" s="76"/>
      <c r="E56" s="76"/>
      <c r="F56" s="80">
        <v>0</v>
      </c>
    </row>
    <row r="57" spans="1:9">
      <c r="A57" s="74" t="s">
        <v>136</v>
      </c>
      <c r="B57" s="75" t="s">
        <v>39</v>
      </c>
      <c r="C57" s="74" t="s">
        <v>60</v>
      </c>
      <c r="D57" s="76"/>
      <c r="E57" s="76"/>
      <c r="F57" s="80">
        <v>0</v>
      </c>
      <c r="I57" s="92"/>
    </row>
    <row r="58" spans="1:9">
      <c r="A58" s="74" t="s">
        <v>137</v>
      </c>
      <c r="B58" s="75" t="s">
        <v>138</v>
      </c>
      <c r="C58" s="74" t="s">
        <v>60</v>
      </c>
      <c r="D58" s="76"/>
      <c r="E58" s="76"/>
      <c r="F58" s="80">
        <v>0</v>
      </c>
    </row>
    <row r="59" spans="1:9">
      <c r="A59" s="74" t="s">
        <v>139</v>
      </c>
      <c r="B59" s="75" t="s">
        <v>89</v>
      </c>
      <c r="C59" s="74" t="s">
        <v>60</v>
      </c>
      <c r="D59" s="76"/>
      <c r="E59" s="76"/>
      <c r="F59" s="80">
        <v>0</v>
      </c>
    </row>
    <row r="60" spans="1:9">
      <c r="A60" s="74" t="s">
        <v>140</v>
      </c>
      <c r="B60" s="75" t="s">
        <v>141</v>
      </c>
      <c r="C60" s="74" t="s">
        <v>60</v>
      </c>
      <c r="D60" s="76"/>
      <c r="E60" s="76"/>
      <c r="F60" s="80">
        <v>0</v>
      </c>
    </row>
    <row r="61" spans="1:9">
      <c r="A61" s="74" t="s">
        <v>142</v>
      </c>
      <c r="B61" s="75" t="s">
        <v>143</v>
      </c>
      <c r="C61" s="74" t="s">
        <v>60</v>
      </c>
      <c r="D61" s="76"/>
      <c r="E61" s="76"/>
      <c r="F61" s="80">
        <v>0</v>
      </c>
    </row>
    <row r="62" spans="1:9">
      <c r="A62" s="74" t="s">
        <v>144</v>
      </c>
      <c r="B62" s="75" t="s">
        <v>145</v>
      </c>
      <c r="C62" s="74" t="s">
        <v>60</v>
      </c>
      <c r="D62" s="76"/>
      <c r="E62" s="76"/>
      <c r="F62" s="80">
        <v>0</v>
      </c>
    </row>
    <row r="63" spans="1:9">
      <c r="A63" s="74" t="s">
        <v>146</v>
      </c>
      <c r="B63" s="75" t="s">
        <v>147</v>
      </c>
      <c r="C63" s="74" t="s">
        <v>60</v>
      </c>
      <c r="D63" s="76"/>
      <c r="E63" s="76"/>
      <c r="F63" s="80">
        <v>0</v>
      </c>
    </row>
    <row r="64" spans="1:9">
      <c r="A64" s="74" t="s">
        <v>148</v>
      </c>
      <c r="B64" s="75" t="s">
        <v>149</v>
      </c>
      <c r="C64" s="74" t="s">
        <v>60</v>
      </c>
      <c r="D64" s="76"/>
      <c r="E64" s="76"/>
      <c r="F64" s="80">
        <v>0</v>
      </c>
    </row>
    <row r="65" spans="1:9" ht="25.5">
      <c r="A65" s="79" t="s">
        <v>150</v>
      </c>
      <c r="B65" s="75" t="s">
        <v>151</v>
      </c>
      <c r="C65" s="74" t="s">
        <v>60</v>
      </c>
      <c r="D65" s="85"/>
      <c r="E65" s="85"/>
      <c r="F65" s="80">
        <v>0</v>
      </c>
    </row>
    <row r="66" spans="1:9">
      <c r="A66" s="79" t="s">
        <v>152</v>
      </c>
      <c r="B66" s="75" t="s">
        <v>153</v>
      </c>
      <c r="C66" s="74" t="s">
        <v>60</v>
      </c>
      <c r="D66" s="76"/>
      <c r="E66" s="76"/>
      <c r="F66" s="80">
        <v>0</v>
      </c>
      <c r="G66" s="93"/>
      <c r="H66" s="93"/>
      <c r="I66" s="93"/>
    </row>
    <row r="67" spans="1:9">
      <c r="A67" s="79" t="s">
        <v>154</v>
      </c>
      <c r="B67" s="77" t="s">
        <v>114</v>
      </c>
      <c r="C67" s="74" t="s">
        <v>60</v>
      </c>
      <c r="D67" s="76"/>
      <c r="E67" s="76"/>
      <c r="F67" s="80">
        <v>0</v>
      </c>
      <c r="G67" s="93"/>
      <c r="H67" s="93"/>
      <c r="I67" s="93"/>
    </row>
    <row r="68" spans="1:9" ht="25.5">
      <c r="A68" s="79" t="s">
        <v>155</v>
      </c>
      <c r="B68" s="75" t="s">
        <v>156</v>
      </c>
      <c r="C68" s="74" t="s">
        <v>60</v>
      </c>
      <c r="D68" s="76"/>
      <c r="E68" s="76"/>
      <c r="F68" s="80">
        <v>0</v>
      </c>
      <c r="G68" s="93"/>
      <c r="H68" s="93"/>
      <c r="I68" s="93"/>
    </row>
    <row r="69" spans="1:9">
      <c r="A69" s="79" t="s">
        <v>157</v>
      </c>
      <c r="B69" s="75" t="s">
        <v>116</v>
      </c>
      <c r="C69" s="74" t="s">
        <v>60</v>
      </c>
      <c r="D69" s="76"/>
      <c r="E69" s="76"/>
      <c r="F69" s="80">
        <v>0</v>
      </c>
      <c r="G69" s="93"/>
      <c r="H69" s="93"/>
      <c r="I69" s="93"/>
    </row>
    <row r="70" spans="1:9">
      <c r="A70" s="79" t="s">
        <v>158</v>
      </c>
      <c r="B70" s="75" t="s">
        <v>159</v>
      </c>
      <c r="C70" s="74" t="s">
        <v>60</v>
      </c>
      <c r="D70" s="76"/>
      <c r="E70" s="76"/>
      <c r="F70" s="80">
        <v>0</v>
      </c>
      <c r="G70" s="93"/>
      <c r="H70" s="93"/>
      <c r="I70" s="93"/>
    </row>
    <row r="71" spans="1:9">
      <c r="A71" s="214" t="s">
        <v>40</v>
      </c>
      <c r="B71" s="215" t="s">
        <v>41</v>
      </c>
      <c r="C71" s="214" t="s">
        <v>60</v>
      </c>
      <c r="D71" s="214">
        <v>433.5</v>
      </c>
      <c r="E71" s="214">
        <f>E42</f>
        <v>420.97899999999998</v>
      </c>
      <c r="F71" s="80">
        <v>225.97499999999999</v>
      </c>
      <c r="G71" s="91"/>
      <c r="H71" s="91"/>
      <c r="I71" s="91"/>
    </row>
    <row r="72" spans="1:9">
      <c r="A72" s="214" t="s">
        <v>42</v>
      </c>
      <c r="B72" s="215" t="s">
        <v>160</v>
      </c>
      <c r="C72" s="214" t="s">
        <v>60</v>
      </c>
      <c r="D72" s="87">
        <v>0</v>
      </c>
      <c r="E72" s="87">
        <f>E73-E71</f>
        <v>-279.19899999999996</v>
      </c>
      <c r="F72" s="80">
        <v>-92.43</v>
      </c>
    </row>
    <row r="73" spans="1:9">
      <c r="A73" s="214" t="s">
        <v>44</v>
      </c>
      <c r="B73" s="215" t="s">
        <v>45</v>
      </c>
      <c r="C73" s="214" t="s">
        <v>60</v>
      </c>
      <c r="D73" s="89">
        <v>433.5</v>
      </c>
      <c r="E73" s="89">
        <v>141.78</v>
      </c>
      <c r="F73" s="80">
        <v>318.40499999999997</v>
      </c>
      <c r="G73" s="90">
        <v>71.099999999999994</v>
      </c>
    </row>
    <row r="74" spans="1:9">
      <c r="A74" s="251" t="s">
        <v>46</v>
      </c>
      <c r="B74" s="252" t="s">
        <v>161</v>
      </c>
      <c r="C74" s="214" t="s">
        <v>162</v>
      </c>
      <c r="D74" s="161">
        <v>40000</v>
      </c>
      <c r="E74" s="161">
        <v>13130</v>
      </c>
      <c r="F74" s="80">
        <v>33.416319999999999</v>
      </c>
    </row>
    <row r="75" spans="1:9">
      <c r="A75" s="251"/>
      <c r="B75" s="252"/>
      <c r="C75" s="214" t="s">
        <v>163</v>
      </c>
      <c r="D75" s="88"/>
      <c r="E75" s="88"/>
      <c r="F75" s="80">
        <v>0</v>
      </c>
    </row>
    <row r="76" spans="1:9">
      <c r="A76" s="251"/>
      <c r="B76" s="252"/>
      <c r="C76" s="214" t="s">
        <v>164</v>
      </c>
      <c r="D76" s="88"/>
      <c r="E76" s="88"/>
      <c r="F76" s="80">
        <v>0</v>
      </c>
    </row>
    <row r="77" spans="1:9">
      <c r="A77" s="251"/>
      <c r="B77" s="252"/>
      <c r="C77" s="214" t="s">
        <v>60</v>
      </c>
      <c r="D77" s="88"/>
      <c r="E77" s="88"/>
      <c r="F77" s="80">
        <v>0</v>
      </c>
      <c r="G77" s="91"/>
      <c r="H77" s="91"/>
      <c r="I77" s="91"/>
    </row>
    <row r="78" spans="1:9">
      <c r="A78" s="220"/>
      <c r="B78" s="221" t="s">
        <v>221</v>
      </c>
      <c r="C78" s="220" t="s">
        <v>220</v>
      </c>
      <c r="D78" s="162">
        <f>D71/D74</f>
        <v>1.08375E-2</v>
      </c>
      <c r="E78" s="162">
        <f>E71/E74</f>
        <v>3.2062376237623764E-2</v>
      </c>
      <c r="F78" s="160"/>
      <c r="G78" s="91"/>
      <c r="H78" s="91"/>
      <c r="I78" s="91"/>
    </row>
    <row r="79" spans="1:9">
      <c r="A79" s="83" t="s">
        <v>165</v>
      </c>
      <c r="B79" s="82" t="s">
        <v>166</v>
      </c>
      <c r="C79" s="83" t="s">
        <v>167</v>
      </c>
      <c r="D79" s="84"/>
      <c r="E79" s="84"/>
      <c r="F79" s="80">
        <v>0</v>
      </c>
    </row>
    <row r="80" spans="1:9">
      <c r="A80" s="81"/>
      <c r="B80" s="81" t="s">
        <v>168</v>
      </c>
      <c r="C80" s="84" t="s">
        <v>167</v>
      </c>
      <c r="D80" s="84">
        <v>0.5</v>
      </c>
      <c r="E80" s="84">
        <v>0.5</v>
      </c>
      <c r="F80" s="80">
        <v>0</v>
      </c>
      <c r="I80" s="90"/>
    </row>
    <row r="81" spans="1:34">
      <c r="A81" s="81"/>
      <c r="B81" s="81"/>
      <c r="C81" s="84" t="s">
        <v>167</v>
      </c>
      <c r="D81" s="84"/>
      <c r="E81" s="84"/>
      <c r="F81" s="80">
        <v>0</v>
      </c>
      <c r="G81" s="92"/>
    </row>
    <row r="82" spans="1:34">
      <c r="A82" s="82"/>
      <c r="B82" s="81"/>
      <c r="C82" s="84" t="s">
        <v>167</v>
      </c>
      <c r="D82" s="82"/>
      <c r="E82" s="82"/>
      <c r="F82" s="80">
        <v>0</v>
      </c>
    </row>
    <row r="83" spans="1:34">
      <c r="A83" s="82"/>
      <c r="B83" s="81"/>
      <c r="C83" s="84" t="s">
        <v>167</v>
      </c>
      <c r="D83" s="82"/>
      <c r="E83" s="82"/>
      <c r="F83" s="80">
        <v>0</v>
      </c>
    </row>
    <row r="84" spans="1:34">
      <c r="A84" s="82"/>
      <c r="B84" s="81"/>
      <c r="C84" s="84" t="s">
        <v>167</v>
      </c>
      <c r="D84" s="82"/>
      <c r="E84" s="82"/>
      <c r="F84" s="80">
        <v>0</v>
      </c>
    </row>
    <row r="85" spans="1:34">
      <c r="A85" s="82"/>
      <c r="B85" s="81" t="s">
        <v>169</v>
      </c>
      <c r="C85" s="84" t="s">
        <v>167</v>
      </c>
      <c r="D85" s="82"/>
      <c r="E85" s="82"/>
      <c r="F85" s="80">
        <v>0</v>
      </c>
    </row>
    <row r="87" spans="1:34">
      <c r="A87" s="173" t="s">
        <v>275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</row>
    <row r="88" spans="1:34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</row>
    <row r="89" spans="1:34">
      <c r="A89" s="173" t="s">
        <v>274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</row>
    <row r="90" spans="1:34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</row>
    <row r="91" spans="1:34">
      <c r="A91" s="114" t="s">
        <v>277</v>
      </c>
    </row>
    <row r="92" spans="1:34">
      <c r="B92" s="91"/>
      <c r="D92" s="91"/>
      <c r="E92" s="91"/>
    </row>
  </sheetData>
  <mergeCells count="5">
    <mergeCell ref="A3:F3"/>
    <mergeCell ref="A4:F4"/>
    <mergeCell ref="A5:F5"/>
    <mergeCell ref="A74:A77"/>
    <mergeCell ref="B74:B77"/>
  </mergeCells>
  <pageMargins left="0.7" right="0.7" top="0.75" bottom="0.75" header="0.3" footer="0.3"/>
  <pageSetup paperSize="9" scale="7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92"/>
  <sheetViews>
    <sheetView view="pageBreakPreview" zoomScale="60" zoomScaleNormal="100" workbookViewId="0">
      <selection activeCell="L28" sqref="L27:M28"/>
    </sheetView>
  </sheetViews>
  <sheetFormatPr defaultRowHeight="15"/>
  <cols>
    <col min="1" max="1" width="9.5703125" style="114" customWidth="1"/>
    <col min="2" max="2" width="40.28515625" style="114" customWidth="1"/>
    <col min="3" max="3" width="10.85546875" style="114" customWidth="1"/>
    <col min="4" max="4" width="16.5703125" style="114" customWidth="1"/>
    <col min="5" max="5" width="17.28515625" style="114" customWidth="1"/>
    <col min="6" max="6" width="12.85546875" style="114" customWidth="1"/>
    <col min="7" max="16384" width="9.140625" style="114"/>
  </cols>
  <sheetData>
    <row r="1" spans="1:9">
      <c r="A1" s="94"/>
      <c r="B1" s="94"/>
      <c r="C1" s="94"/>
      <c r="D1" s="94"/>
      <c r="E1" s="94"/>
      <c r="F1" s="95" t="s">
        <v>54</v>
      </c>
    </row>
    <row r="2" spans="1:9">
      <c r="A2" s="94"/>
      <c r="B2" s="94"/>
      <c r="C2" s="94"/>
      <c r="D2" s="94"/>
      <c r="E2" s="94"/>
      <c r="F2" s="94"/>
    </row>
    <row r="3" spans="1:9">
      <c r="A3" s="255" t="s">
        <v>278</v>
      </c>
      <c r="B3" s="255"/>
      <c r="C3" s="255"/>
      <c r="D3" s="255"/>
      <c r="E3" s="255"/>
      <c r="F3" s="255"/>
    </row>
    <row r="4" spans="1:9">
      <c r="A4" s="255" t="s">
        <v>55</v>
      </c>
      <c r="B4" s="255"/>
      <c r="C4" s="255"/>
      <c r="D4" s="255"/>
      <c r="E4" s="255"/>
      <c r="F4" s="255"/>
    </row>
    <row r="5" spans="1:9">
      <c r="A5" s="256" t="s">
        <v>223</v>
      </c>
      <c r="B5" s="256"/>
      <c r="C5" s="256"/>
      <c r="D5" s="256"/>
      <c r="E5" s="256"/>
      <c r="F5" s="256"/>
    </row>
    <row r="6" spans="1:9" ht="45">
      <c r="A6" s="96" t="s">
        <v>0</v>
      </c>
      <c r="B6" s="96" t="s">
        <v>56</v>
      </c>
      <c r="C6" s="96" t="s">
        <v>57</v>
      </c>
      <c r="D6" s="144" t="s">
        <v>208</v>
      </c>
      <c r="E6" s="17" t="s">
        <v>209</v>
      </c>
      <c r="F6" s="97" t="s">
        <v>174</v>
      </c>
    </row>
    <row r="7" spans="1:9" ht="36">
      <c r="A7" s="216" t="s">
        <v>58</v>
      </c>
      <c r="B7" s="217" t="s">
        <v>59</v>
      </c>
      <c r="C7" s="216" t="s">
        <v>60</v>
      </c>
      <c r="D7" s="98"/>
      <c r="E7" s="98"/>
      <c r="F7" s="98">
        <v>0</v>
      </c>
      <c r="G7" s="91"/>
      <c r="H7" s="91"/>
      <c r="I7" s="91"/>
    </row>
    <row r="8" spans="1:9" ht="24">
      <c r="A8" s="99">
        <v>1</v>
      </c>
      <c r="B8" s="100" t="s">
        <v>61</v>
      </c>
      <c r="C8" s="101" t="s">
        <v>60</v>
      </c>
      <c r="D8" s="102"/>
      <c r="E8" s="102"/>
      <c r="F8" s="98">
        <v>0</v>
      </c>
    </row>
    <row r="9" spans="1:9">
      <c r="A9" s="101" t="s">
        <v>62</v>
      </c>
      <c r="B9" s="100" t="s">
        <v>63</v>
      </c>
      <c r="C9" s="101" t="s">
        <v>60</v>
      </c>
      <c r="D9" s="103"/>
      <c r="E9" s="103"/>
      <c r="F9" s="98">
        <v>0</v>
      </c>
    </row>
    <row r="10" spans="1:9">
      <c r="A10" s="101" t="s">
        <v>64</v>
      </c>
      <c r="B10" s="100" t="s">
        <v>16</v>
      </c>
      <c r="C10" s="101" t="s">
        <v>60</v>
      </c>
      <c r="D10" s="103"/>
      <c r="E10" s="103"/>
      <c r="F10" s="98">
        <v>0</v>
      </c>
    </row>
    <row r="11" spans="1:9">
      <c r="A11" s="101" t="s">
        <v>65</v>
      </c>
      <c r="B11" s="100" t="s">
        <v>66</v>
      </c>
      <c r="C11" s="101" t="s">
        <v>60</v>
      </c>
      <c r="D11" s="103"/>
      <c r="E11" s="103"/>
      <c r="F11" s="98">
        <v>0</v>
      </c>
    </row>
    <row r="12" spans="1:9">
      <c r="A12" s="101" t="s">
        <v>67</v>
      </c>
      <c r="B12" s="100" t="s">
        <v>68</v>
      </c>
      <c r="C12" s="101" t="s">
        <v>60</v>
      </c>
      <c r="D12" s="103"/>
      <c r="E12" s="103"/>
      <c r="F12" s="98">
        <v>0</v>
      </c>
    </row>
    <row r="13" spans="1:9">
      <c r="A13" s="101" t="s">
        <v>69</v>
      </c>
      <c r="B13" s="100" t="s">
        <v>70</v>
      </c>
      <c r="C13" s="101" t="s">
        <v>60</v>
      </c>
      <c r="D13" s="103"/>
      <c r="E13" s="103"/>
      <c r="F13" s="98">
        <v>0</v>
      </c>
    </row>
    <row r="14" spans="1:9">
      <c r="A14" s="101" t="s">
        <v>71</v>
      </c>
      <c r="B14" s="100" t="s">
        <v>72</v>
      </c>
      <c r="C14" s="101" t="s">
        <v>60</v>
      </c>
      <c r="D14" s="103"/>
      <c r="E14" s="103"/>
      <c r="F14" s="98">
        <v>0</v>
      </c>
    </row>
    <row r="15" spans="1:9" ht="24">
      <c r="A15" s="99">
        <v>2</v>
      </c>
      <c r="B15" s="100" t="s">
        <v>73</v>
      </c>
      <c r="C15" s="101" t="s">
        <v>60</v>
      </c>
      <c r="D15" s="102"/>
      <c r="E15" s="102"/>
      <c r="F15" s="98">
        <v>0</v>
      </c>
    </row>
    <row r="16" spans="1:9">
      <c r="A16" s="101" t="s">
        <v>74</v>
      </c>
      <c r="B16" s="100" t="s">
        <v>18</v>
      </c>
      <c r="C16" s="101" t="s">
        <v>60</v>
      </c>
      <c r="D16" s="103"/>
      <c r="E16" s="103"/>
      <c r="F16" s="98">
        <v>0</v>
      </c>
      <c r="I16" s="92"/>
    </row>
    <row r="17" spans="1:9">
      <c r="A17" s="101" t="s">
        <v>75</v>
      </c>
      <c r="B17" s="100" t="s">
        <v>76</v>
      </c>
      <c r="C17" s="101" t="s">
        <v>60</v>
      </c>
      <c r="D17" s="103"/>
      <c r="E17" s="103"/>
      <c r="F17" s="98">
        <v>0</v>
      </c>
      <c r="I17" s="92"/>
    </row>
    <row r="18" spans="1:9">
      <c r="A18" s="101" t="s">
        <v>77</v>
      </c>
      <c r="B18" s="104" t="s">
        <v>78</v>
      </c>
      <c r="C18" s="101" t="s">
        <v>60</v>
      </c>
      <c r="D18" s="103"/>
      <c r="E18" s="103"/>
      <c r="F18" s="98">
        <v>0</v>
      </c>
      <c r="I18" s="92"/>
    </row>
    <row r="19" spans="1:9">
      <c r="A19" s="99">
        <v>3</v>
      </c>
      <c r="B19" s="100" t="s">
        <v>20</v>
      </c>
      <c r="C19" s="101" t="s">
        <v>60</v>
      </c>
      <c r="D19" s="102"/>
      <c r="E19" s="102"/>
      <c r="F19" s="98">
        <v>0</v>
      </c>
      <c r="I19" s="92"/>
    </row>
    <row r="20" spans="1:9" ht="24">
      <c r="A20" s="99">
        <v>4</v>
      </c>
      <c r="B20" s="100" t="s">
        <v>79</v>
      </c>
      <c r="C20" s="101" t="s">
        <v>60</v>
      </c>
      <c r="D20" s="102"/>
      <c r="E20" s="102"/>
      <c r="F20" s="98">
        <v>0</v>
      </c>
    </row>
    <row r="21" spans="1:9">
      <c r="A21" s="101" t="s">
        <v>80</v>
      </c>
      <c r="B21" s="100" t="s">
        <v>172</v>
      </c>
      <c r="C21" s="101" t="s">
        <v>60</v>
      </c>
      <c r="D21" s="103"/>
      <c r="E21" s="103"/>
      <c r="F21" s="98">
        <v>0</v>
      </c>
    </row>
    <row r="22" spans="1:9">
      <c r="A22" s="101" t="s">
        <v>81</v>
      </c>
      <c r="B22" s="100" t="s">
        <v>82</v>
      </c>
      <c r="C22" s="101" t="s">
        <v>60</v>
      </c>
      <c r="D22" s="103"/>
      <c r="E22" s="103"/>
      <c r="F22" s="98">
        <v>0</v>
      </c>
    </row>
    <row r="23" spans="1:9" ht="24">
      <c r="A23" s="99">
        <v>5</v>
      </c>
      <c r="B23" s="100" t="s">
        <v>83</v>
      </c>
      <c r="C23" s="101" t="s">
        <v>60</v>
      </c>
      <c r="D23" s="102"/>
      <c r="E23" s="102"/>
      <c r="F23" s="98">
        <v>0</v>
      </c>
    </row>
    <row r="24" spans="1:9" ht="24">
      <c r="A24" s="99" t="s">
        <v>84</v>
      </c>
      <c r="B24" s="100" t="s">
        <v>85</v>
      </c>
      <c r="C24" s="101" t="s">
        <v>60</v>
      </c>
      <c r="D24" s="103"/>
      <c r="E24" s="103"/>
      <c r="F24" s="98">
        <v>0</v>
      </c>
    </row>
    <row r="25" spans="1:9">
      <c r="A25" s="99" t="s">
        <v>86</v>
      </c>
      <c r="B25" s="100" t="s">
        <v>87</v>
      </c>
      <c r="C25" s="101" t="s">
        <v>60</v>
      </c>
      <c r="D25" s="103"/>
      <c r="E25" s="103"/>
      <c r="F25" s="98">
        <v>0</v>
      </c>
    </row>
    <row r="26" spans="1:9">
      <c r="A26" s="99" t="s">
        <v>88</v>
      </c>
      <c r="B26" s="100" t="s">
        <v>89</v>
      </c>
      <c r="C26" s="101" t="s">
        <v>60</v>
      </c>
      <c r="D26" s="103"/>
      <c r="E26" s="103"/>
      <c r="F26" s="98">
        <v>0</v>
      </c>
    </row>
    <row r="27" spans="1:9">
      <c r="A27" s="99" t="s">
        <v>90</v>
      </c>
      <c r="B27" s="100" t="s">
        <v>91</v>
      </c>
      <c r="C27" s="101" t="s">
        <v>60</v>
      </c>
      <c r="D27" s="103"/>
      <c r="E27" s="103"/>
      <c r="F27" s="98">
        <v>0</v>
      </c>
    </row>
    <row r="28" spans="1:9">
      <c r="A28" s="99" t="s">
        <v>92</v>
      </c>
      <c r="B28" s="100" t="s">
        <v>93</v>
      </c>
      <c r="C28" s="101" t="s">
        <v>60</v>
      </c>
      <c r="D28" s="103"/>
      <c r="E28" s="103"/>
      <c r="F28" s="98">
        <v>0</v>
      </c>
    </row>
    <row r="29" spans="1:9">
      <c r="A29" s="99" t="s">
        <v>94</v>
      </c>
      <c r="B29" s="100" t="s">
        <v>95</v>
      </c>
      <c r="C29" s="101" t="s">
        <v>60</v>
      </c>
      <c r="D29" s="103"/>
      <c r="E29" s="103"/>
      <c r="F29" s="98">
        <v>0</v>
      </c>
    </row>
    <row r="30" spans="1:9">
      <c r="A30" s="99" t="s">
        <v>96</v>
      </c>
      <c r="B30" s="100" t="s">
        <v>97</v>
      </c>
      <c r="C30" s="101" t="s">
        <v>60</v>
      </c>
      <c r="D30" s="103"/>
      <c r="E30" s="103"/>
      <c r="F30" s="98">
        <v>0</v>
      </c>
    </row>
    <row r="31" spans="1:9">
      <c r="A31" s="99" t="s">
        <v>98</v>
      </c>
      <c r="B31" s="100" t="s">
        <v>99</v>
      </c>
      <c r="C31" s="101" t="s">
        <v>60</v>
      </c>
      <c r="D31" s="103"/>
      <c r="E31" s="103"/>
      <c r="F31" s="98">
        <v>0</v>
      </c>
    </row>
    <row r="32" spans="1:9">
      <c r="A32" s="99" t="s">
        <v>100</v>
      </c>
      <c r="B32" s="100" t="s">
        <v>101</v>
      </c>
      <c r="C32" s="101" t="s">
        <v>60</v>
      </c>
      <c r="D32" s="103"/>
      <c r="E32" s="103"/>
      <c r="F32" s="98">
        <v>0</v>
      </c>
    </row>
    <row r="33" spans="1:6">
      <c r="A33" s="99">
        <v>6</v>
      </c>
      <c r="B33" s="100" t="s">
        <v>102</v>
      </c>
      <c r="C33" s="101" t="s">
        <v>60</v>
      </c>
      <c r="D33" s="102"/>
      <c r="E33" s="102"/>
      <c r="F33" s="98">
        <v>0</v>
      </c>
    </row>
    <row r="34" spans="1:6">
      <c r="A34" s="101" t="s">
        <v>103</v>
      </c>
      <c r="B34" s="100" t="s">
        <v>104</v>
      </c>
      <c r="C34" s="101" t="s">
        <v>60</v>
      </c>
      <c r="D34" s="103"/>
      <c r="E34" s="103"/>
      <c r="F34" s="98">
        <v>0</v>
      </c>
    </row>
    <row r="35" spans="1:6">
      <c r="A35" s="101" t="s">
        <v>105</v>
      </c>
      <c r="B35" s="100" t="s">
        <v>106</v>
      </c>
      <c r="C35" s="101" t="s">
        <v>60</v>
      </c>
      <c r="D35" s="103"/>
      <c r="E35" s="103"/>
      <c r="F35" s="98">
        <v>0</v>
      </c>
    </row>
    <row r="36" spans="1:6">
      <c r="A36" s="101" t="s">
        <v>107</v>
      </c>
      <c r="B36" s="100" t="s">
        <v>108</v>
      </c>
      <c r="C36" s="101" t="s">
        <v>60</v>
      </c>
      <c r="D36" s="103"/>
      <c r="E36" s="103"/>
      <c r="F36" s="98">
        <v>0</v>
      </c>
    </row>
    <row r="37" spans="1:6">
      <c r="A37" s="101" t="s">
        <v>109</v>
      </c>
      <c r="B37" s="100" t="s">
        <v>110</v>
      </c>
      <c r="C37" s="101" t="s">
        <v>60</v>
      </c>
      <c r="D37" s="103"/>
      <c r="E37" s="103"/>
      <c r="F37" s="98">
        <v>0</v>
      </c>
    </row>
    <row r="38" spans="1:6">
      <c r="A38" s="101" t="s">
        <v>111</v>
      </c>
      <c r="B38" s="100" t="s">
        <v>112</v>
      </c>
      <c r="C38" s="101" t="s">
        <v>60</v>
      </c>
      <c r="D38" s="103"/>
      <c r="E38" s="103"/>
      <c r="F38" s="98">
        <v>0</v>
      </c>
    </row>
    <row r="39" spans="1:6">
      <c r="A39" s="101" t="s">
        <v>113</v>
      </c>
      <c r="B39" s="104" t="s">
        <v>114</v>
      </c>
      <c r="C39" s="101" t="s">
        <v>60</v>
      </c>
      <c r="D39" s="103"/>
      <c r="E39" s="103"/>
      <c r="F39" s="98">
        <v>0</v>
      </c>
    </row>
    <row r="40" spans="1:6">
      <c r="A40" s="101" t="s">
        <v>115</v>
      </c>
      <c r="B40" s="100" t="s">
        <v>116</v>
      </c>
      <c r="C40" s="101" t="s">
        <v>60</v>
      </c>
      <c r="D40" s="103"/>
      <c r="E40" s="103"/>
      <c r="F40" s="98">
        <v>0</v>
      </c>
    </row>
    <row r="41" spans="1:6" ht="24">
      <c r="A41" s="216" t="s">
        <v>28</v>
      </c>
      <c r="B41" s="217" t="s">
        <v>117</v>
      </c>
      <c r="C41" s="216" t="s">
        <v>60</v>
      </c>
      <c r="D41" s="216">
        <f>D42</f>
        <v>1915.6</v>
      </c>
      <c r="E41" s="216">
        <f>E42</f>
        <v>1262.9490000000001</v>
      </c>
      <c r="F41" s="98">
        <f>D41-E41</f>
        <v>652.65099999999984</v>
      </c>
    </row>
    <row r="42" spans="1:6" ht="24">
      <c r="A42" s="99">
        <v>7</v>
      </c>
      <c r="B42" s="100" t="s">
        <v>118</v>
      </c>
      <c r="C42" s="101" t="s">
        <v>60</v>
      </c>
      <c r="D42" s="101">
        <f>D49+D50+D51</f>
        <v>1915.6</v>
      </c>
      <c r="E42" s="101">
        <f>E49+E50+E51</f>
        <v>1262.9490000000001</v>
      </c>
      <c r="F42" s="98">
        <f>D42-E42</f>
        <v>652.65099999999984</v>
      </c>
    </row>
    <row r="43" spans="1:6">
      <c r="A43" s="101" t="s">
        <v>119</v>
      </c>
      <c r="B43" s="100" t="s">
        <v>63</v>
      </c>
      <c r="C43" s="101"/>
      <c r="D43" s="102"/>
      <c r="E43" s="102"/>
      <c r="F43" s="98">
        <v>0</v>
      </c>
    </row>
    <row r="44" spans="1:6">
      <c r="A44" s="101" t="s">
        <v>120</v>
      </c>
      <c r="B44" s="100" t="s">
        <v>16</v>
      </c>
      <c r="C44" s="101"/>
      <c r="D44" s="102"/>
      <c r="E44" s="102"/>
      <c r="F44" s="98">
        <v>0</v>
      </c>
    </row>
    <row r="45" spans="1:6">
      <c r="A45" s="101" t="s">
        <v>121</v>
      </c>
      <c r="B45" s="100" t="s">
        <v>66</v>
      </c>
      <c r="C45" s="101"/>
      <c r="D45" s="102"/>
      <c r="E45" s="102"/>
      <c r="F45" s="98">
        <v>0</v>
      </c>
    </row>
    <row r="46" spans="1:6">
      <c r="A46" s="101" t="s">
        <v>122</v>
      </c>
      <c r="B46" s="100" t="s">
        <v>68</v>
      </c>
      <c r="C46" s="101"/>
      <c r="D46" s="102"/>
      <c r="E46" s="102"/>
      <c r="F46" s="98">
        <v>0</v>
      </c>
    </row>
    <row r="47" spans="1:6">
      <c r="A47" s="101" t="s">
        <v>123</v>
      </c>
      <c r="B47" s="100" t="s">
        <v>70</v>
      </c>
      <c r="C47" s="101"/>
      <c r="D47" s="102"/>
      <c r="E47" s="102"/>
      <c r="F47" s="98">
        <v>0</v>
      </c>
    </row>
    <row r="48" spans="1:6">
      <c r="A48" s="101" t="s">
        <v>124</v>
      </c>
      <c r="B48" s="100" t="s">
        <v>72</v>
      </c>
      <c r="C48" s="101"/>
      <c r="D48" s="102"/>
      <c r="E48" s="102"/>
      <c r="F48" s="98">
        <v>0</v>
      </c>
    </row>
    <row r="49" spans="1:9">
      <c r="A49" s="101" t="s">
        <v>125</v>
      </c>
      <c r="B49" s="100" t="s">
        <v>126</v>
      </c>
      <c r="C49" s="101" t="s">
        <v>60</v>
      </c>
      <c r="D49" s="105">
        <v>1743</v>
      </c>
      <c r="E49" s="163">
        <v>1130.1600000000001</v>
      </c>
      <c r="F49" s="98">
        <f>D49-E49</f>
        <v>612.83999999999992</v>
      </c>
      <c r="I49" s="92"/>
    </row>
    <row r="50" spans="1:9">
      <c r="A50" s="101" t="s">
        <v>127</v>
      </c>
      <c r="B50" s="100" t="s">
        <v>76</v>
      </c>
      <c r="C50" s="101" t="s">
        <v>60</v>
      </c>
      <c r="D50" s="105">
        <v>172.6</v>
      </c>
      <c r="E50" s="163">
        <v>98.841999999999999</v>
      </c>
      <c r="F50" s="98">
        <f>D50-E50</f>
        <v>73.757999999999996</v>
      </c>
      <c r="G50" s="92"/>
      <c r="I50" s="92"/>
    </row>
    <row r="51" spans="1:9" hidden="1">
      <c r="A51" s="101" t="s">
        <v>128</v>
      </c>
      <c r="B51" s="100" t="s">
        <v>129</v>
      </c>
      <c r="C51" s="101" t="s">
        <v>60</v>
      </c>
      <c r="D51" s="105"/>
      <c r="E51" s="163">
        <v>33.947000000000003</v>
      </c>
      <c r="F51" s="98">
        <f>D51-E51</f>
        <v>-33.947000000000003</v>
      </c>
      <c r="I51" s="92"/>
    </row>
    <row r="52" spans="1:9">
      <c r="A52" s="101" t="s">
        <v>130</v>
      </c>
      <c r="B52" s="100" t="s">
        <v>20</v>
      </c>
      <c r="C52" s="101"/>
      <c r="D52" s="105"/>
      <c r="E52" s="105"/>
      <c r="F52" s="98">
        <v>0</v>
      </c>
      <c r="I52" s="92"/>
    </row>
    <row r="53" spans="1:9">
      <c r="A53" s="101" t="s">
        <v>131</v>
      </c>
      <c r="B53" s="100" t="s">
        <v>108</v>
      </c>
      <c r="C53" s="101"/>
      <c r="D53" s="105"/>
      <c r="E53" s="105"/>
      <c r="F53" s="98">
        <v>0</v>
      </c>
      <c r="I53" s="92"/>
    </row>
    <row r="54" spans="1:9">
      <c r="A54" s="101" t="s">
        <v>132</v>
      </c>
      <c r="B54" s="100" t="s">
        <v>133</v>
      </c>
      <c r="C54" s="101" t="s">
        <v>60</v>
      </c>
      <c r="D54" s="105"/>
      <c r="E54" s="105"/>
      <c r="F54" s="98">
        <v>0</v>
      </c>
      <c r="I54" s="92"/>
    </row>
    <row r="55" spans="1:9">
      <c r="A55" s="101" t="s">
        <v>134</v>
      </c>
      <c r="B55" s="100" t="s">
        <v>106</v>
      </c>
      <c r="C55" s="101"/>
      <c r="D55" s="105"/>
      <c r="E55" s="105"/>
      <c r="F55" s="98">
        <v>0</v>
      </c>
      <c r="I55" s="92"/>
    </row>
    <row r="56" spans="1:9">
      <c r="A56" s="101" t="s">
        <v>135</v>
      </c>
      <c r="B56" s="100" t="s">
        <v>91</v>
      </c>
      <c r="C56" s="101" t="s">
        <v>60</v>
      </c>
      <c r="D56" s="105"/>
      <c r="E56" s="105"/>
      <c r="F56" s="98">
        <v>0</v>
      </c>
    </row>
    <row r="57" spans="1:9">
      <c r="A57" s="101" t="s">
        <v>136</v>
      </c>
      <c r="B57" s="100" t="s">
        <v>39</v>
      </c>
      <c r="C57" s="101" t="s">
        <v>60</v>
      </c>
      <c r="D57" s="105"/>
      <c r="E57" s="105"/>
      <c r="F57" s="98">
        <v>0</v>
      </c>
      <c r="I57" s="92"/>
    </row>
    <row r="58" spans="1:9">
      <c r="A58" s="101" t="s">
        <v>137</v>
      </c>
      <c r="B58" s="100" t="s">
        <v>138</v>
      </c>
      <c r="C58" s="101" t="s">
        <v>60</v>
      </c>
      <c r="D58" s="105"/>
      <c r="E58" s="105"/>
      <c r="F58" s="98">
        <v>0</v>
      </c>
    </row>
    <row r="59" spans="1:9">
      <c r="A59" s="101" t="s">
        <v>139</v>
      </c>
      <c r="B59" s="100" t="s">
        <v>89</v>
      </c>
      <c r="C59" s="101" t="s">
        <v>60</v>
      </c>
      <c r="D59" s="105"/>
      <c r="E59" s="105"/>
      <c r="F59" s="98">
        <v>0</v>
      </c>
    </row>
    <row r="60" spans="1:9">
      <c r="A60" s="101" t="s">
        <v>140</v>
      </c>
      <c r="B60" s="100" t="s">
        <v>141</v>
      </c>
      <c r="C60" s="101" t="s">
        <v>60</v>
      </c>
      <c r="D60" s="105"/>
      <c r="E60" s="105"/>
      <c r="F60" s="98">
        <v>0</v>
      </c>
    </row>
    <row r="61" spans="1:9">
      <c r="A61" s="101" t="s">
        <v>142</v>
      </c>
      <c r="B61" s="100" t="s">
        <v>143</v>
      </c>
      <c r="C61" s="101" t="s">
        <v>60</v>
      </c>
      <c r="D61" s="105"/>
      <c r="E61" s="105"/>
      <c r="F61" s="98">
        <v>0</v>
      </c>
    </row>
    <row r="62" spans="1:9">
      <c r="A62" s="101" t="s">
        <v>144</v>
      </c>
      <c r="B62" s="100" t="s">
        <v>145</v>
      </c>
      <c r="C62" s="101" t="s">
        <v>60</v>
      </c>
      <c r="D62" s="105"/>
      <c r="E62" s="105"/>
      <c r="F62" s="98">
        <v>0</v>
      </c>
    </row>
    <row r="63" spans="1:9">
      <c r="A63" s="101" t="s">
        <v>146</v>
      </c>
      <c r="B63" s="100" t="s">
        <v>147</v>
      </c>
      <c r="C63" s="101" t="s">
        <v>60</v>
      </c>
      <c r="D63" s="105"/>
      <c r="E63" s="105"/>
      <c r="F63" s="98">
        <v>0</v>
      </c>
    </row>
    <row r="64" spans="1:9">
      <c r="A64" s="101" t="s">
        <v>148</v>
      </c>
      <c r="B64" s="100" t="s">
        <v>149</v>
      </c>
      <c r="C64" s="101" t="s">
        <v>60</v>
      </c>
      <c r="D64" s="105"/>
      <c r="E64" s="105"/>
      <c r="F64" s="98">
        <v>0</v>
      </c>
    </row>
    <row r="65" spans="1:7" ht="24">
      <c r="A65" s="106" t="s">
        <v>150</v>
      </c>
      <c r="B65" s="100" t="s">
        <v>151</v>
      </c>
      <c r="C65" s="101" t="s">
        <v>60</v>
      </c>
      <c r="D65" s="107"/>
      <c r="E65" s="107"/>
      <c r="F65" s="98">
        <v>0</v>
      </c>
    </row>
    <row r="66" spans="1:7">
      <c r="A66" s="106" t="s">
        <v>152</v>
      </c>
      <c r="B66" s="100" t="s">
        <v>153</v>
      </c>
      <c r="C66" s="101" t="s">
        <v>60</v>
      </c>
      <c r="D66" s="105"/>
      <c r="E66" s="105"/>
      <c r="F66" s="98">
        <v>0</v>
      </c>
      <c r="G66" s="93"/>
    </row>
    <row r="67" spans="1:7">
      <c r="A67" s="106" t="s">
        <v>154</v>
      </c>
      <c r="B67" s="104" t="s">
        <v>114</v>
      </c>
      <c r="C67" s="101" t="s">
        <v>60</v>
      </c>
      <c r="D67" s="105"/>
      <c r="E67" s="105"/>
      <c r="F67" s="98">
        <v>0</v>
      </c>
      <c r="G67" s="93"/>
    </row>
    <row r="68" spans="1:7">
      <c r="A68" s="106" t="s">
        <v>155</v>
      </c>
      <c r="B68" s="100" t="s">
        <v>156</v>
      </c>
      <c r="C68" s="101" t="s">
        <v>60</v>
      </c>
      <c r="D68" s="105"/>
      <c r="E68" s="105"/>
      <c r="F68" s="98">
        <v>0</v>
      </c>
      <c r="G68" s="93"/>
    </row>
    <row r="69" spans="1:7">
      <c r="A69" s="106" t="s">
        <v>157</v>
      </c>
      <c r="B69" s="100" t="s">
        <v>116</v>
      </c>
      <c r="C69" s="101" t="s">
        <v>60</v>
      </c>
      <c r="D69" s="105"/>
      <c r="E69" s="105"/>
      <c r="F69" s="98">
        <v>0</v>
      </c>
      <c r="G69" s="93"/>
    </row>
    <row r="70" spans="1:7">
      <c r="A70" s="106" t="s">
        <v>158</v>
      </c>
      <c r="B70" s="100" t="s">
        <v>159</v>
      </c>
      <c r="C70" s="101" t="s">
        <v>60</v>
      </c>
      <c r="D70" s="105"/>
      <c r="E70" s="105"/>
      <c r="F70" s="98">
        <v>0</v>
      </c>
      <c r="G70" s="93"/>
    </row>
    <row r="71" spans="1:7">
      <c r="A71" s="216" t="s">
        <v>40</v>
      </c>
      <c r="B71" s="217" t="s">
        <v>41</v>
      </c>
      <c r="C71" s="216" t="s">
        <v>60</v>
      </c>
      <c r="D71" s="216">
        <f>D41</f>
        <v>1915.6</v>
      </c>
      <c r="E71" s="216">
        <f>E41</f>
        <v>1262.9490000000001</v>
      </c>
      <c r="F71" s="98">
        <f>D71-E71</f>
        <v>652.65099999999984</v>
      </c>
      <c r="G71" s="91"/>
    </row>
    <row r="72" spans="1:7">
      <c r="A72" s="216" t="s">
        <v>42</v>
      </c>
      <c r="B72" s="217" t="s">
        <v>160</v>
      </c>
      <c r="C72" s="216" t="s">
        <v>60</v>
      </c>
      <c r="D72" s="105"/>
      <c r="E72" s="105">
        <f>E73-E71</f>
        <v>-271.41500000000008</v>
      </c>
      <c r="F72" s="98">
        <f t="shared" ref="F72:F74" si="0">D72-E72</f>
        <v>271.41500000000008</v>
      </c>
    </row>
    <row r="73" spans="1:7">
      <c r="A73" s="216" t="s">
        <v>44</v>
      </c>
      <c r="B73" s="217" t="s">
        <v>45</v>
      </c>
      <c r="C73" s="216" t="s">
        <v>60</v>
      </c>
      <c r="D73" s="108">
        <v>1915.6</v>
      </c>
      <c r="E73" s="108">
        <v>991.53399999999999</v>
      </c>
      <c r="F73" s="98">
        <f t="shared" si="0"/>
        <v>924.06599999999992</v>
      </c>
      <c r="G73" s="90"/>
    </row>
    <row r="74" spans="1:7">
      <c r="A74" s="257" t="s">
        <v>46</v>
      </c>
      <c r="B74" s="258" t="s">
        <v>161</v>
      </c>
      <c r="C74" s="216" t="s">
        <v>162</v>
      </c>
      <c r="D74" s="167">
        <v>985000</v>
      </c>
      <c r="E74" s="167">
        <v>521860</v>
      </c>
      <c r="F74" s="98">
        <f t="shared" si="0"/>
        <v>463140</v>
      </c>
    </row>
    <row r="75" spans="1:7">
      <c r="A75" s="257"/>
      <c r="B75" s="258"/>
      <c r="C75" s="216" t="s">
        <v>163</v>
      </c>
      <c r="D75" s="109"/>
      <c r="E75" s="109"/>
      <c r="F75" s="98">
        <v>0</v>
      </c>
    </row>
    <row r="76" spans="1:7">
      <c r="A76" s="257"/>
      <c r="B76" s="258"/>
      <c r="C76" s="216" t="s">
        <v>164</v>
      </c>
      <c r="D76" s="109"/>
      <c r="E76" s="109"/>
      <c r="F76" s="98">
        <v>0</v>
      </c>
    </row>
    <row r="77" spans="1:7">
      <c r="A77" s="257"/>
      <c r="B77" s="258"/>
      <c r="C77" s="216" t="s">
        <v>60</v>
      </c>
      <c r="D77" s="109"/>
      <c r="E77" s="109"/>
      <c r="F77" s="98">
        <v>0</v>
      </c>
      <c r="G77" s="91"/>
    </row>
    <row r="78" spans="1:7">
      <c r="A78" s="164"/>
      <c r="B78" s="165" t="s">
        <v>224</v>
      </c>
      <c r="C78" s="164" t="s">
        <v>225</v>
      </c>
      <c r="D78" s="168">
        <f>D71/D74</f>
        <v>1.9447715736040608E-3</v>
      </c>
      <c r="E78" s="168">
        <f>E71/E74</f>
        <v>2.420091595447055E-3</v>
      </c>
      <c r="F78" s="166"/>
      <c r="G78" s="91"/>
    </row>
    <row r="79" spans="1:7">
      <c r="A79" s="110" t="s">
        <v>165</v>
      </c>
      <c r="B79" s="111" t="s">
        <v>166</v>
      </c>
      <c r="C79" s="110" t="s">
        <v>167</v>
      </c>
      <c r="D79" s="112"/>
      <c r="E79" s="112"/>
      <c r="F79" s="98">
        <v>0</v>
      </c>
    </row>
    <row r="80" spans="1:7">
      <c r="A80" s="113"/>
      <c r="B80" s="113" t="s">
        <v>168</v>
      </c>
      <c r="C80" s="112" t="s">
        <v>167</v>
      </c>
      <c r="D80" s="112">
        <v>1.5</v>
      </c>
      <c r="E80" s="112">
        <v>1.5</v>
      </c>
      <c r="F80" s="98">
        <v>0</v>
      </c>
    </row>
    <row r="81" spans="1:34">
      <c r="A81" s="113"/>
      <c r="B81" s="113"/>
      <c r="C81" s="112" t="s">
        <v>167</v>
      </c>
      <c r="D81" s="112"/>
      <c r="E81" s="112"/>
      <c r="F81" s="98">
        <v>0</v>
      </c>
      <c r="G81" s="92"/>
    </row>
    <row r="82" spans="1:34">
      <c r="A82" s="111"/>
      <c r="B82" s="113"/>
      <c r="C82" s="112" t="s">
        <v>167</v>
      </c>
      <c r="D82" s="110"/>
      <c r="E82" s="110"/>
      <c r="F82" s="98">
        <v>0</v>
      </c>
    </row>
    <row r="83" spans="1:34">
      <c r="A83" s="111"/>
      <c r="B83" s="113"/>
      <c r="C83" s="112" t="s">
        <v>167</v>
      </c>
      <c r="D83" s="110"/>
      <c r="E83" s="110"/>
      <c r="F83" s="98">
        <v>0</v>
      </c>
    </row>
    <row r="84" spans="1:34">
      <c r="A84" s="111"/>
      <c r="B84" s="113"/>
      <c r="C84" s="112" t="s">
        <v>167</v>
      </c>
      <c r="D84" s="110"/>
      <c r="E84" s="110"/>
      <c r="F84" s="98">
        <v>0</v>
      </c>
    </row>
    <row r="85" spans="1:34">
      <c r="A85" s="111"/>
      <c r="B85" s="113" t="s">
        <v>169</v>
      </c>
      <c r="C85" s="112" t="s">
        <v>167</v>
      </c>
      <c r="D85" s="110"/>
      <c r="E85" s="110"/>
      <c r="F85" s="98">
        <v>0</v>
      </c>
    </row>
    <row r="87" spans="1:34">
      <c r="A87" s="173" t="s">
        <v>275</v>
      </c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</row>
    <row r="88" spans="1:34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</row>
    <row r="89" spans="1:34">
      <c r="A89" s="173" t="s">
        <v>274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</row>
    <row r="90" spans="1:34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</row>
    <row r="91" spans="1:34">
      <c r="A91" s="114" t="s">
        <v>277</v>
      </c>
    </row>
    <row r="92" spans="1:34">
      <c r="B92" s="91"/>
    </row>
  </sheetData>
  <mergeCells count="5">
    <mergeCell ref="A3:F3"/>
    <mergeCell ref="A4:F4"/>
    <mergeCell ref="A5:F5"/>
    <mergeCell ref="A74:A77"/>
    <mergeCell ref="B74:B77"/>
  </mergeCells>
  <pageMargins left="0.7" right="0.7" top="0.75" bottom="0.75" header="0.3" footer="0.3"/>
  <pageSetup paperSize="9" scale="8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66" workbookViewId="0">
      <selection activeCell="I82" sqref="I82"/>
    </sheetView>
  </sheetViews>
  <sheetFormatPr defaultRowHeight="15"/>
  <cols>
    <col min="1" max="1" width="32" style="114" customWidth="1"/>
    <col min="2" max="2" width="14.5703125" style="114" customWidth="1"/>
    <col min="3" max="3" width="13.7109375" style="114" customWidth="1"/>
    <col min="4" max="4" width="18.5703125" style="114" customWidth="1"/>
    <col min="5" max="256" width="9.140625" style="114"/>
    <col min="257" max="257" width="28.28515625" style="114" customWidth="1"/>
    <col min="258" max="258" width="14.5703125" style="114" customWidth="1"/>
    <col min="259" max="259" width="13.7109375" style="114" customWidth="1"/>
    <col min="260" max="260" width="18.5703125" style="114" customWidth="1"/>
    <col min="261" max="512" width="9.140625" style="114"/>
    <col min="513" max="513" width="28.28515625" style="114" customWidth="1"/>
    <col min="514" max="514" width="14.5703125" style="114" customWidth="1"/>
    <col min="515" max="515" width="13.7109375" style="114" customWidth="1"/>
    <col min="516" max="516" width="18.5703125" style="114" customWidth="1"/>
    <col min="517" max="768" width="9.140625" style="114"/>
    <col min="769" max="769" width="28.28515625" style="114" customWidth="1"/>
    <col min="770" max="770" width="14.5703125" style="114" customWidth="1"/>
    <col min="771" max="771" width="13.7109375" style="114" customWidth="1"/>
    <col min="772" max="772" width="18.5703125" style="114" customWidth="1"/>
    <col min="773" max="1024" width="9.140625" style="114"/>
    <col min="1025" max="1025" width="28.28515625" style="114" customWidth="1"/>
    <col min="1026" max="1026" width="14.5703125" style="114" customWidth="1"/>
    <col min="1027" max="1027" width="13.7109375" style="114" customWidth="1"/>
    <col min="1028" max="1028" width="18.5703125" style="114" customWidth="1"/>
    <col min="1029" max="1280" width="9.140625" style="114"/>
    <col min="1281" max="1281" width="28.28515625" style="114" customWidth="1"/>
    <col min="1282" max="1282" width="14.5703125" style="114" customWidth="1"/>
    <col min="1283" max="1283" width="13.7109375" style="114" customWidth="1"/>
    <col min="1284" max="1284" width="18.5703125" style="114" customWidth="1"/>
    <col min="1285" max="1536" width="9.140625" style="114"/>
    <col min="1537" max="1537" width="28.28515625" style="114" customWidth="1"/>
    <col min="1538" max="1538" width="14.5703125" style="114" customWidth="1"/>
    <col min="1539" max="1539" width="13.7109375" style="114" customWidth="1"/>
    <col min="1540" max="1540" width="18.5703125" style="114" customWidth="1"/>
    <col min="1541" max="1792" width="9.140625" style="114"/>
    <col min="1793" max="1793" width="28.28515625" style="114" customWidth="1"/>
    <col min="1794" max="1794" width="14.5703125" style="114" customWidth="1"/>
    <col min="1795" max="1795" width="13.7109375" style="114" customWidth="1"/>
    <col min="1796" max="1796" width="18.5703125" style="114" customWidth="1"/>
    <col min="1797" max="2048" width="9.140625" style="114"/>
    <col min="2049" max="2049" width="28.28515625" style="114" customWidth="1"/>
    <col min="2050" max="2050" width="14.5703125" style="114" customWidth="1"/>
    <col min="2051" max="2051" width="13.7109375" style="114" customWidth="1"/>
    <col min="2052" max="2052" width="18.5703125" style="114" customWidth="1"/>
    <col min="2053" max="2304" width="9.140625" style="114"/>
    <col min="2305" max="2305" width="28.28515625" style="114" customWidth="1"/>
    <col min="2306" max="2306" width="14.5703125" style="114" customWidth="1"/>
    <col min="2307" max="2307" width="13.7109375" style="114" customWidth="1"/>
    <col min="2308" max="2308" width="18.5703125" style="114" customWidth="1"/>
    <col min="2309" max="2560" width="9.140625" style="114"/>
    <col min="2561" max="2561" width="28.28515625" style="114" customWidth="1"/>
    <col min="2562" max="2562" width="14.5703125" style="114" customWidth="1"/>
    <col min="2563" max="2563" width="13.7109375" style="114" customWidth="1"/>
    <col min="2564" max="2564" width="18.5703125" style="114" customWidth="1"/>
    <col min="2565" max="2816" width="9.140625" style="114"/>
    <col min="2817" max="2817" width="28.28515625" style="114" customWidth="1"/>
    <col min="2818" max="2818" width="14.5703125" style="114" customWidth="1"/>
    <col min="2819" max="2819" width="13.7109375" style="114" customWidth="1"/>
    <col min="2820" max="2820" width="18.5703125" style="114" customWidth="1"/>
    <col min="2821" max="3072" width="9.140625" style="114"/>
    <col min="3073" max="3073" width="28.28515625" style="114" customWidth="1"/>
    <col min="3074" max="3074" width="14.5703125" style="114" customWidth="1"/>
    <col min="3075" max="3075" width="13.7109375" style="114" customWidth="1"/>
    <col min="3076" max="3076" width="18.5703125" style="114" customWidth="1"/>
    <col min="3077" max="3328" width="9.140625" style="114"/>
    <col min="3329" max="3329" width="28.28515625" style="114" customWidth="1"/>
    <col min="3330" max="3330" width="14.5703125" style="114" customWidth="1"/>
    <col min="3331" max="3331" width="13.7109375" style="114" customWidth="1"/>
    <col min="3332" max="3332" width="18.5703125" style="114" customWidth="1"/>
    <col min="3333" max="3584" width="9.140625" style="114"/>
    <col min="3585" max="3585" width="28.28515625" style="114" customWidth="1"/>
    <col min="3586" max="3586" width="14.5703125" style="114" customWidth="1"/>
    <col min="3587" max="3587" width="13.7109375" style="114" customWidth="1"/>
    <col min="3588" max="3588" width="18.5703125" style="114" customWidth="1"/>
    <col min="3589" max="3840" width="9.140625" style="114"/>
    <col min="3841" max="3841" width="28.28515625" style="114" customWidth="1"/>
    <col min="3842" max="3842" width="14.5703125" style="114" customWidth="1"/>
    <col min="3843" max="3843" width="13.7109375" style="114" customWidth="1"/>
    <col min="3844" max="3844" width="18.5703125" style="114" customWidth="1"/>
    <col min="3845" max="4096" width="9.140625" style="114"/>
    <col min="4097" max="4097" width="28.28515625" style="114" customWidth="1"/>
    <col min="4098" max="4098" width="14.5703125" style="114" customWidth="1"/>
    <col min="4099" max="4099" width="13.7109375" style="114" customWidth="1"/>
    <col min="4100" max="4100" width="18.5703125" style="114" customWidth="1"/>
    <col min="4101" max="4352" width="9.140625" style="114"/>
    <col min="4353" max="4353" width="28.28515625" style="114" customWidth="1"/>
    <col min="4354" max="4354" width="14.5703125" style="114" customWidth="1"/>
    <col min="4355" max="4355" width="13.7109375" style="114" customWidth="1"/>
    <col min="4356" max="4356" width="18.5703125" style="114" customWidth="1"/>
    <col min="4357" max="4608" width="9.140625" style="114"/>
    <col min="4609" max="4609" width="28.28515625" style="114" customWidth="1"/>
    <col min="4610" max="4610" width="14.5703125" style="114" customWidth="1"/>
    <col min="4611" max="4611" width="13.7109375" style="114" customWidth="1"/>
    <col min="4612" max="4612" width="18.5703125" style="114" customWidth="1"/>
    <col min="4613" max="4864" width="9.140625" style="114"/>
    <col min="4865" max="4865" width="28.28515625" style="114" customWidth="1"/>
    <col min="4866" max="4866" width="14.5703125" style="114" customWidth="1"/>
    <col min="4867" max="4867" width="13.7109375" style="114" customWidth="1"/>
    <col min="4868" max="4868" width="18.5703125" style="114" customWidth="1"/>
    <col min="4869" max="5120" width="9.140625" style="114"/>
    <col min="5121" max="5121" width="28.28515625" style="114" customWidth="1"/>
    <col min="5122" max="5122" width="14.5703125" style="114" customWidth="1"/>
    <col min="5123" max="5123" width="13.7109375" style="114" customWidth="1"/>
    <col min="5124" max="5124" width="18.5703125" style="114" customWidth="1"/>
    <col min="5125" max="5376" width="9.140625" style="114"/>
    <col min="5377" max="5377" width="28.28515625" style="114" customWidth="1"/>
    <col min="5378" max="5378" width="14.5703125" style="114" customWidth="1"/>
    <col min="5379" max="5379" width="13.7109375" style="114" customWidth="1"/>
    <col min="5380" max="5380" width="18.5703125" style="114" customWidth="1"/>
    <col min="5381" max="5632" width="9.140625" style="114"/>
    <col min="5633" max="5633" width="28.28515625" style="114" customWidth="1"/>
    <col min="5634" max="5634" width="14.5703125" style="114" customWidth="1"/>
    <col min="5635" max="5635" width="13.7109375" style="114" customWidth="1"/>
    <col min="5636" max="5636" width="18.5703125" style="114" customWidth="1"/>
    <col min="5637" max="5888" width="9.140625" style="114"/>
    <col min="5889" max="5889" width="28.28515625" style="114" customWidth="1"/>
    <col min="5890" max="5890" width="14.5703125" style="114" customWidth="1"/>
    <col min="5891" max="5891" width="13.7109375" style="114" customWidth="1"/>
    <col min="5892" max="5892" width="18.5703125" style="114" customWidth="1"/>
    <col min="5893" max="6144" width="9.140625" style="114"/>
    <col min="6145" max="6145" width="28.28515625" style="114" customWidth="1"/>
    <col min="6146" max="6146" width="14.5703125" style="114" customWidth="1"/>
    <col min="6147" max="6147" width="13.7109375" style="114" customWidth="1"/>
    <col min="6148" max="6148" width="18.5703125" style="114" customWidth="1"/>
    <col min="6149" max="6400" width="9.140625" style="114"/>
    <col min="6401" max="6401" width="28.28515625" style="114" customWidth="1"/>
    <col min="6402" max="6402" width="14.5703125" style="114" customWidth="1"/>
    <col min="6403" max="6403" width="13.7109375" style="114" customWidth="1"/>
    <col min="6404" max="6404" width="18.5703125" style="114" customWidth="1"/>
    <col min="6405" max="6656" width="9.140625" style="114"/>
    <col min="6657" max="6657" width="28.28515625" style="114" customWidth="1"/>
    <col min="6658" max="6658" width="14.5703125" style="114" customWidth="1"/>
    <col min="6659" max="6659" width="13.7109375" style="114" customWidth="1"/>
    <col min="6660" max="6660" width="18.5703125" style="114" customWidth="1"/>
    <col min="6661" max="6912" width="9.140625" style="114"/>
    <col min="6913" max="6913" width="28.28515625" style="114" customWidth="1"/>
    <col min="6914" max="6914" width="14.5703125" style="114" customWidth="1"/>
    <col min="6915" max="6915" width="13.7109375" style="114" customWidth="1"/>
    <col min="6916" max="6916" width="18.5703125" style="114" customWidth="1"/>
    <col min="6917" max="7168" width="9.140625" style="114"/>
    <col min="7169" max="7169" width="28.28515625" style="114" customWidth="1"/>
    <col min="7170" max="7170" width="14.5703125" style="114" customWidth="1"/>
    <col min="7171" max="7171" width="13.7109375" style="114" customWidth="1"/>
    <col min="7172" max="7172" width="18.5703125" style="114" customWidth="1"/>
    <col min="7173" max="7424" width="9.140625" style="114"/>
    <col min="7425" max="7425" width="28.28515625" style="114" customWidth="1"/>
    <col min="7426" max="7426" width="14.5703125" style="114" customWidth="1"/>
    <col min="7427" max="7427" width="13.7109375" style="114" customWidth="1"/>
    <col min="7428" max="7428" width="18.5703125" style="114" customWidth="1"/>
    <col min="7429" max="7680" width="9.140625" style="114"/>
    <col min="7681" max="7681" width="28.28515625" style="114" customWidth="1"/>
    <col min="7682" max="7682" width="14.5703125" style="114" customWidth="1"/>
    <col min="7683" max="7683" width="13.7109375" style="114" customWidth="1"/>
    <col min="7684" max="7684" width="18.5703125" style="114" customWidth="1"/>
    <col min="7685" max="7936" width="9.140625" style="114"/>
    <col min="7937" max="7937" width="28.28515625" style="114" customWidth="1"/>
    <col min="7938" max="7938" width="14.5703125" style="114" customWidth="1"/>
    <col min="7939" max="7939" width="13.7109375" style="114" customWidth="1"/>
    <col min="7940" max="7940" width="18.5703125" style="114" customWidth="1"/>
    <col min="7941" max="8192" width="9.140625" style="114"/>
    <col min="8193" max="8193" width="28.28515625" style="114" customWidth="1"/>
    <col min="8194" max="8194" width="14.5703125" style="114" customWidth="1"/>
    <col min="8195" max="8195" width="13.7109375" style="114" customWidth="1"/>
    <col min="8196" max="8196" width="18.5703125" style="114" customWidth="1"/>
    <col min="8197" max="8448" width="9.140625" style="114"/>
    <col min="8449" max="8449" width="28.28515625" style="114" customWidth="1"/>
    <col min="8450" max="8450" width="14.5703125" style="114" customWidth="1"/>
    <col min="8451" max="8451" width="13.7109375" style="114" customWidth="1"/>
    <col min="8452" max="8452" width="18.5703125" style="114" customWidth="1"/>
    <col min="8453" max="8704" width="9.140625" style="114"/>
    <col min="8705" max="8705" width="28.28515625" style="114" customWidth="1"/>
    <col min="8706" max="8706" width="14.5703125" style="114" customWidth="1"/>
    <col min="8707" max="8707" width="13.7109375" style="114" customWidth="1"/>
    <col min="8708" max="8708" width="18.5703125" style="114" customWidth="1"/>
    <col min="8709" max="8960" width="9.140625" style="114"/>
    <col min="8961" max="8961" width="28.28515625" style="114" customWidth="1"/>
    <col min="8962" max="8962" width="14.5703125" style="114" customWidth="1"/>
    <col min="8963" max="8963" width="13.7109375" style="114" customWidth="1"/>
    <col min="8964" max="8964" width="18.5703125" style="114" customWidth="1"/>
    <col min="8965" max="9216" width="9.140625" style="114"/>
    <col min="9217" max="9217" width="28.28515625" style="114" customWidth="1"/>
    <col min="9218" max="9218" width="14.5703125" style="114" customWidth="1"/>
    <col min="9219" max="9219" width="13.7109375" style="114" customWidth="1"/>
    <col min="9220" max="9220" width="18.5703125" style="114" customWidth="1"/>
    <col min="9221" max="9472" width="9.140625" style="114"/>
    <col min="9473" max="9473" width="28.28515625" style="114" customWidth="1"/>
    <col min="9474" max="9474" width="14.5703125" style="114" customWidth="1"/>
    <col min="9475" max="9475" width="13.7109375" style="114" customWidth="1"/>
    <col min="9476" max="9476" width="18.5703125" style="114" customWidth="1"/>
    <col min="9477" max="9728" width="9.140625" style="114"/>
    <col min="9729" max="9729" width="28.28515625" style="114" customWidth="1"/>
    <col min="9730" max="9730" width="14.5703125" style="114" customWidth="1"/>
    <col min="9731" max="9731" width="13.7109375" style="114" customWidth="1"/>
    <col min="9732" max="9732" width="18.5703125" style="114" customWidth="1"/>
    <col min="9733" max="9984" width="9.140625" style="114"/>
    <col min="9985" max="9985" width="28.28515625" style="114" customWidth="1"/>
    <col min="9986" max="9986" width="14.5703125" style="114" customWidth="1"/>
    <col min="9987" max="9987" width="13.7109375" style="114" customWidth="1"/>
    <col min="9988" max="9988" width="18.5703125" style="114" customWidth="1"/>
    <col min="9989" max="10240" width="9.140625" style="114"/>
    <col min="10241" max="10241" width="28.28515625" style="114" customWidth="1"/>
    <col min="10242" max="10242" width="14.5703125" style="114" customWidth="1"/>
    <col min="10243" max="10243" width="13.7109375" style="114" customWidth="1"/>
    <col min="10244" max="10244" width="18.5703125" style="114" customWidth="1"/>
    <col min="10245" max="10496" width="9.140625" style="114"/>
    <col min="10497" max="10497" width="28.28515625" style="114" customWidth="1"/>
    <col min="10498" max="10498" width="14.5703125" style="114" customWidth="1"/>
    <col min="10499" max="10499" width="13.7109375" style="114" customWidth="1"/>
    <col min="10500" max="10500" width="18.5703125" style="114" customWidth="1"/>
    <col min="10501" max="10752" width="9.140625" style="114"/>
    <col min="10753" max="10753" width="28.28515625" style="114" customWidth="1"/>
    <col min="10754" max="10754" width="14.5703125" style="114" customWidth="1"/>
    <col min="10755" max="10755" width="13.7109375" style="114" customWidth="1"/>
    <col min="10756" max="10756" width="18.5703125" style="114" customWidth="1"/>
    <col min="10757" max="11008" width="9.140625" style="114"/>
    <col min="11009" max="11009" width="28.28515625" style="114" customWidth="1"/>
    <col min="11010" max="11010" width="14.5703125" style="114" customWidth="1"/>
    <col min="11011" max="11011" width="13.7109375" style="114" customWidth="1"/>
    <col min="11012" max="11012" width="18.5703125" style="114" customWidth="1"/>
    <col min="11013" max="11264" width="9.140625" style="114"/>
    <col min="11265" max="11265" width="28.28515625" style="114" customWidth="1"/>
    <col min="11266" max="11266" width="14.5703125" style="114" customWidth="1"/>
    <col min="11267" max="11267" width="13.7109375" style="114" customWidth="1"/>
    <col min="11268" max="11268" width="18.5703125" style="114" customWidth="1"/>
    <col min="11269" max="11520" width="9.140625" style="114"/>
    <col min="11521" max="11521" width="28.28515625" style="114" customWidth="1"/>
    <col min="11522" max="11522" width="14.5703125" style="114" customWidth="1"/>
    <col min="11523" max="11523" width="13.7109375" style="114" customWidth="1"/>
    <col min="11524" max="11524" width="18.5703125" style="114" customWidth="1"/>
    <col min="11525" max="11776" width="9.140625" style="114"/>
    <col min="11777" max="11777" width="28.28515625" style="114" customWidth="1"/>
    <col min="11778" max="11778" width="14.5703125" style="114" customWidth="1"/>
    <col min="11779" max="11779" width="13.7109375" style="114" customWidth="1"/>
    <col min="11780" max="11780" width="18.5703125" style="114" customWidth="1"/>
    <col min="11781" max="12032" width="9.140625" style="114"/>
    <col min="12033" max="12033" width="28.28515625" style="114" customWidth="1"/>
    <col min="12034" max="12034" width="14.5703125" style="114" customWidth="1"/>
    <col min="12035" max="12035" width="13.7109375" style="114" customWidth="1"/>
    <col min="12036" max="12036" width="18.5703125" style="114" customWidth="1"/>
    <col min="12037" max="12288" width="9.140625" style="114"/>
    <col min="12289" max="12289" width="28.28515625" style="114" customWidth="1"/>
    <col min="12290" max="12290" width="14.5703125" style="114" customWidth="1"/>
    <col min="12291" max="12291" width="13.7109375" style="114" customWidth="1"/>
    <col min="12292" max="12292" width="18.5703125" style="114" customWidth="1"/>
    <col min="12293" max="12544" width="9.140625" style="114"/>
    <col min="12545" max="12545" width="28.28515625" style="114" customWidth="1"/>
    <col min="12546" max="12546" width="14.5703125" style="114" customWidth="1"/>
    <col min="12547" max="12547" width="13.7109375" style="114" customWidth="1"/>
    <col min="12548" max="12548" width="18.5703125" style="114" customWidth="1"/>
    <col min="12549" max="12800" width="9.140625" style="114"/>
    <col min="12801" max="12801" width="28.28515625" style="114" customWidth="1"/>
    <col min="12802" max="12802" width="14.5703125" style="114" customWidth="1"/>
    <col min="12803" max="12803" width="13.7109375" style="114" customWidth="1"/>
    <col min="12804" max="12804" width="18.5703125" style="114" customWidth="1"/>
    <col min="12805" max="13056" width="9.140625" style="114"/>
    <col min="13057" max="13057" width="28.28515625" style="114" customWidth="1"/>
    <col min="13058" max="13058" width="14.5703125" style="114" customWidth="1"/>
    <col min="13059" max="13059" width="13.7109375" style="114" customWidth="1"/>
    <col min="13060" max="13060" width="18.5703125" style="114" customWidth="1"/>
    <col min="13061" max="13312" width="9.140625" style="114"/>
    <col min="13313" max="13313" width="28.28515625" style="114" customWidth="1"/>
    <col min="13314" max="13314" width="14.5703125" style="114" customWidth="1"/>
    <col min="13315" max="13315" width="13.7109375" style="114" customWidth="1"/>
    <col min="13316" max="13316" width="18.5703125" style="114" customWidth="1"/>
    <col min="13317" max="13568" width="9.140625" style="114"/>
    <col min="13569" max="13569" width="28.28515625" style="114" customWidth="1"/>
    <col min="13570" max="13570" width="14.5703125" style="114" customWidth="1"/>
    <col min="13571" max="13571" width="13.7109375" style="114" customWidth="1"/>
    <col min="13572" max="13572" width="18.5703125" style="114" customWidth="1"/>
    <col min="13573" max="13824" width="9.140625" style="114"/>
    <col min="13825" max="13825" width="28.28515625" style="114" customWidth="1"/>
    <col min="13826" max="13826" width="14.5703125" style="114" customWidth="1"/>
    <col min="13827" max="13827" width="13.7109375" style="114" customWidth="1"/>
    <col min="13828" max="13828" width="18.5703125" style="114" customWidth="1"/>
    <col min="13829" max="14080" width="9.140625" style="114"/>
    <col min="14081" max="14081" width="28.28515625" style="114" customWidth="1"/>
    <col min="14082" max="14082" width="14.5703125" style="114" customWidth="1"/>
    <col min="14083" max="14083" width="13.7109375" style="114" customWidth="1"/>
    <col min="14084" max="14084" width="18.5703125" style="114" customWidth="1"/>
    <col min="14085" max="14336" width="9.140625" style="114"/>
    <col min="14337" max="14337" width="28.28515625" style="114" customWidth="1"/>
    <col min="14338" max="14338" width="14.5703125" style="114" customWidth="1"/>
    <col min="14339" max="14339" width="13.7109375" style="114" customWidth="1"/>
    <col min="14340" max="14340" width="18.5703125" style="114" customWidth="1"/>
    <col min="14341" max="14592" width="9.140625" style="114"/>
    <col min="14593" max="14593" width="28.28515625" style="114" customWidth="1"/>
    <col min="14594" max="14594" width="14.5703125" style="114" customWidth="1"/>
    <col min="14595" max="14595" width="13.7109375" style="114" customWidth="1"/>
    <col min="14596" max="14596" width="18.5703125" style="114" customWidth="1"/>
    <col min="14597" max="14848" width="9.140625" style="114"/>
    <col min="14849" max="14849" width="28.28515625" style="114" customWidth="1"/>
    <col min="14850" max="14850" width="14.5703125" style="114" customWidth="1"/>
    <col min="14851" max="14851" width="13.7109375" style="114" customWidth="1"/>
    <col min="14852" max="14852" width="18.5703125" style="114" customWidth="1"/>
    <col min="14853" max="15104" width="9.140625" style="114"/>
    <col min="15105" max="15105" width="28.28515625" style="114" customWidth="1"/>
    <col min="15106" max="15106" width="14.5703125" style="114" customWidth="1"/>
    <col min="15107" max="15107" width="13.7109375" style="114" customWidth="1"/>
    <col min="15108" max="15108" width="18.5703125" style="114" customWidth="1"/>
    <col min="15109" max="15360" width="9.140625" style="114"/>
    <col min="15361" max="15361" width="28.28515625" style="114" customWidth="1"/>
    <col min="15362" max="15362" width="14.5703125" style="114" customWidth="1"/>
    <col min="15363" max="15363" width="13.7109375" style="114" customWidth="1"/>
    <col min="15364" max="15364" width="18.5703125" style="114" customWidth="1"/>
    <col min="15365" max="15616" width="9.140625" style="114"/>
    <col min="15617" max="15617" width="28.28515625" style="114" customWidth="1"/>
    <col min="15618" max="15618" width="14.5703125" style="114" customWidth="1"/>
    <col min="15619" max="15619" width="13.7109375" style="114" customWidth="1"/>
    <col min="15620" max="15620" width="18.5703125" style="114" customWidth="1"/>
    <col min="15621" max="15872" width="9.140625" style="114"/>
    <col min="15873" max="15873" width="28.28515625" style="114" customWidth="1"/>
    <col min="15874" max="15874" width="14.5703125" style="114" customWidth="1"/>
    <col min="15875" max="15875" width="13.7109375" style="114" customWidth="1"/>
    <col min="15876" max="15876" width="18.5703125" style="114" customWidth="1"/>
    <col min="15877" max="16128" width="9.140625" style="114"/>
    <col min="16129" max="16129" width="28.28515625" style="114" customWidth="1"/>
    <col min="16130" max="16130" width="14.5703125" style="114" customWidth="1"/>
    <col min="16131" max="16131" width="13.7109375" style="114" customWidth="1"/>
    <col min="16132" max="16132" width="18.5703125" style="114" customWidth="1"/>
    <col min="16133" max="16384" width="9.140625" style="114"/>
  </cols>
  <sheetData>
    <row r="1" spans="1:6" ht="15.75">
      <c r="A1" s="265" t="s">
        <v>273</v>
      </c>
      <c r="B1" s="265"/>
      <c r="C1" s="265"/>
      <c r="D1" s="265"/>
    </row>
    <row r="2" spans="1:6" ht="15.75">
      <c r="A2" s="266" t="s">
        <v>175</v>
      </c>
      <c r="B2" s="266"/>
      <c r="C2" s="266"/>
      <c r="D2" s="266"/>
    </row>
    <row r="3" spans="1:6" ht="31.5">
      <c r="A3" s="121" t="s">
        <v>176</v>
      </c>
      <c r="B3" s="121" t="s">
        <v>177</v>
      </c>
      <c r="C3" s="121" t="s">
        <v>178</v>
      </c>
      <c r="D3" s="121" t="s">
        <v>179</v>
      </c>
    </row>
    <row r="4" spans="1:6" ht="15.75">
      <c r="A4" s="122" t="s">
        <v>180</v>
      </c>
      <c r="B4" s="122">
        <v>18.803000000000001</v>
      </c>
      <c r="C4" s="122">
        <v>0.6</v>
      </c>
      <c r="D4" s="122">
        <f>SUM(B4*C4)*1000</f>
        <v>11281.800000000001</v>
      </c>
      <c r="F4" s="114" t="s">
        <v>218</v>
      </c>
    </row>
    <row r="5" spans="1:6" ht="15.75" hidden="1">
      <c r="A5" s="267" t="s">
        <v>181</v>
      </c>
      <c r="B5" s="123"/>
      <c r="C5" s="122">
        <v>0.253</v>
      </c>
      <c r="D5" s="122">
        <f>SUM(B5*C5)*1000</f>
        <v>0</v>
      </c>
    </row>
    <row r="6" spans="1:6" ht="15.75" hidden="1">
      <c r="A6" s="268"/>
      <c r="B6" s="115"/>
      <c r="C6" s="122">
        <v>0.36</v>
      </c>
      <c r="D6" s="122">
        <f>SUM(B6*C6)*1000</f>
        <v>0</v>
      </c>
    </row>
    <row r="7" spans="1:6" ht="15.75">
      <c r="A7" s="124" t="s">
        <v>182</v>
      </c>
      <c r="B7" s="152">
        <f>SUM(B4:B6)</f>
        <v>18.803000000000001</v>
      </c>
      <c r="C7" s="124"/>
      <c r="D7" s="125">
        <f>SUM(D4:D6)</f>
        <v>11281.800000000001</v>
      </c>
    </row>
    <row r="8" spans="1:6" ht="15.75">
      <c r="A8" s="266" t="s">
        <v>183</v>
      </c>
      <c r="B8" s="266"/>
      <c r="C8" s="266"/>
      <c r="D8" s="266"/>
    </row>
    <row r="9" spans="1:6" ht="31.5">
      <c r="A9" s="121" t="s">
        <v>176</v>
      </c>
      <c r="B9" s="121" t="s">
        <v>177</v>
      </c>
      <c r="C9" s="121" t="s">
        <v>178</v>
      </c>
      <c r="D9" s="121" t="s">
        <v>179</v>
      </c>
    </row>
    <row r="10" spans="1:6" ht="15.75">
      <c r="A10" s="122" t="s">
        <v>180</v>
      </c>
      <c r="B10" s="122">
        <v>12.332000000000001</v>
      </c>
      <c r="C10" s="122">
        <v>0.6</v>
      </c>
      <c r="D10" s="122">
        <f>SUM(B10*C10)*1000</f>
        <v>7399.2000000000007</v>
      </c>
    </row>
    <row r="11" spans="1:6" ht="15.75" hidden="1">
      <c r="A11" s="122" t="s">
        <v>184</v>
      </c>
      <c r="B11" s="156"/>
      <c r="C11" s="122"/>
      <c r="D11" s="127">
        <f>SUM(B11*C11)*1000</f>
        <v>0</v>
      </c>
    </row>
    <row r="12" spans="1:6" ht="15.75" hidden="1">
      <c r="A12" s="122" t="s">
        <v>202</v>
      </c>
      <c r="B12" s="126"/>
      <c r="C12" s="122"/>
      <c r="D12" s="127">
        <f>SUM(B12*C12)*1000</f>
        <v>0</v>
      </c>
    </row>
    <row r="13" spans="1:6" ht="15.75">
      <c r="A13" s="124" t="s">
        <v>182</v>
      </c>
      <c r="B13" s="155">
        <f>SUM(B10:B12)</f>
        <v>12.332000000000001</v>
      </c>
      <c r="C13" s="124"/>
      <c r="D13" s="128">
        <f>SUM(D10:D12)</f>
        <v>7399.2000000000007</v>
      </c>
    </row>
    <row r="14" spans="1:6" ht="15.75">
      <c r="A14" s="266" t="s">
        <v>186</v>
      </c>
      <c r="B14" s="266"/>
      <c r="C14" s="266"/>
      <c r="D14" s="266"/>
    </row>
    <row r="15" spans="1:6" ht="31.5">
      <c r="A15" s="121" t="s">
        <v>176</v>
      </c>
      <c r="B15" s="121" t="s">
        <v>177</v>
      </c>
      <c r="C15" s="121" t="s">
        <v>178</v>
      </c>
      <c r="D15" s="121" t="s">
        <v>179</v>
      </c>
    </row>
    <row r="16" spans="1:6" ht="15.75">
      <c r="A16" s="229" t="s">
        <v>180</v>
      </c>
      <c r="B16" s="122">
        <v>7.2809999999999997</v>
      </c>
      <c r="C16" s="122">
        <v>0.6</v>
      </c>
      <c r="D16" s="122">
        <f>SUM(B16*C16)*1000</f>
        <v>4368.5999999999995</v>
      </c>
    </row>
    <row r="17" spans="1:4" ht="15.75" hidden="1">
      <c r="A17" s="230"/>
      <c r="B17" s="122"/>
      <c r="C17" s="122">
        <v>0.41099999999999998</v>
      </c>
      <c r="D17" s="122">
        <f>SUM(B17*C17)*1000</f>
        <v>0</v>
      </c>
    </row>
    <row r="18" spans="1:4" ht="15.75" hidden="1">
      <c r="A18" s="231"/>
      <c r="B18" s="122"/>
      <c r="C18" s="122">
        <v>0.41099999999999998</v>
      </c>
      <c r="D18" s="122">
        <f>SUM(B18*C18)*1000</f>
        <v>0</v>
      </c>
    </row>
    <row r="19" spans="1:4" ht="15.75">
      <c r="A19" s="122" t="s">
        <v>184</v>
      </c>
      <c r="B19" s="122"/>
      <c r="C19" s="122">
        <v>7.0000000000000007E-2</v>
      </c>
      <c r="D19" s="122">
        <f>SUM(B19*C19)*1000</f>
        <v>0</v>
      </c>
    </row>
    <row r="20" spans="1:4" ht="15.75">
      <c r="A20" s="124" t="s">
        <v>182</v>
      </c>
      <c r="B20" s="152">
        <f>SUM(B16:B19)</f>
        <v>7.2809999999999997</v>
      </c>
      <c r="C20" s="124"/>
      <c r="D20" s="124">
        <f>SUM(D16:D19)</f>
        <v>4368.5999999999995</v>
      </c>
    </row>
    <row r="21" spans="1:4" ht="15.75">
      <c r="A21" s="266" t="s">
        <v>187</v>
      </c>
      <c r="B21" s="266"/>
      <c r="C21" s="266"/>
      <c r="D21" s="266"/>
    </row>
    <row r="22" spans="1:4" ht="31.5">
      <c r="A22" s="121" t="s">
        <v>176</v>
      </c>
      <c r="B22" s="121" t="s">
        <v>177</v>
      </c>
      <c r="C22" s="121" t="s">
        <v>178</v>
      </c>
      <c r="D22" s="121" t="s">
        <v>179</v>
      </c>
    </row>
    <row r="23" spans="1:4" ht="15.75">
      <c r="A23" s="122" t="s">
        <v>180</v>
      </c>
      <c r="B23" s="126">
        <v>1.1708000000000001</v>
      </c>
      <c r="C23" s="122">
        <v>0.6</v>
      </c>
      <c r="D23" s="129">
        <f>SUM(B23*C23)*1000</f>
        <v>702.48</v>
      </c>
    </row>
    <row r="24" spans="1:4" ht="15.75">
      <c r="A24" s="122" t="s">
        <v>184</v>
      </c>
      <c r="B24" s="126"/>
      <c r="C24" s="122"/>
      <c r="D24" s="129">
        <f>SUM(B24*C24)*1000</f>
        <v>0</v>
      </c>
    </row>
    <row r="25" spans="1:4" ht="15.75">
      <c r="A25" s="124" t="s">
        <v>182</v>
      </c>
      <c r="B25" s="154">
        <f>SUM(B23:B24)</f>
        <v>1.1708000000000001</v>
      </c>
      <c r="C25" s="124"/>
      <c r="D25" s="131">
        <f>SUM(D23:D24)</f>
        <v>702.48</v>
      </c>
    </row>
    <row r="26" spans="1:4" ht="15.75">
      <c r="A26" s="266" t="s">
        <v>188</v>
      </c>
      <c r="B26" s="266"/>
      <c r="C26" s="266"/>
      <c r="D26" s="266"/>
    </row>
    <row r="27" spans="1:4" ht="31.5">
      <c r="A27" s="121" t="s">
        <v>176</v>
      </c>
      <c r="B27" s="121" t="s">
        <v>177</v>
      </c>
      <c r="C27" s="121" t="s">
        <v>178</v>
      </c>
      <c r="D27" s="121" t="s">
        <v>179</v>
      </c>
    </row>
    <row r="28" spans="1:4" ht="15.75">
      <c r="A28" s="261" t="s">
        <v>180</v>
      </c>
      <c r="B28" s="122">
        <v>10.521000000000001</v>
      </c>
      <c r="C28" s="122">
        <v>0.6</v>
      </c>
      <c r="D28" s="122">
        <f>SUM(B28*C28)*1000</f>
        <v>6312.6</v>
      </c>
    </row>
    <row r="29" spans="1:4" ht="15.75">
      <c r="A29" s="262"/>
      <c r="B29" s="122"/>
      <c r="C29" s="122"/>
      <c r="D29" s="122">
        <f>SUM(B29*C29)*1000</f>
        <v>0</v>
      </c>
    </row>
    <row r="30" spans="1:4" ht="15.75" hidden="1">
      <c r="A30" s="122" t="s">
        <v>184</v>
      </c>
      <c r="B30" s="122"/>
      <c r="C30" s="122"/>
      <c r="D30" s="122">
        <f>SUM(B30*C30)*1000</f>
        <v>0</v>
      </c>
    </row>
    <row r="31" spans="1:4" ht="15.75" hidden="1">
      <c r="A31" s="122" t="s">
        <v>190</v>
      </c>
      <c r="B31" s="122"/>
      <c r="C31" s="122"/>
      <c r="D31" s="122">
        <f>SUM(B31*C31)*1000</f>
        <v>0</v>
      </c>
    </row>
    <row r="32" spans="1:4" ht="15.75" hidden="1">
      <c r="A32" s="122" t="s">
        <v>191</v>
      </c>
      <c r="B32" s="122"/>
      <c r="C32" s="122"/>
      <c r="D32" s="122">
        <f>SUM(B32*C32)*1000</f>
        <v>0</v>
      </c>
    </row>
    <row r="33" spans="1:4" ht="15.75">
      <c r="A33" s="124" t="s">
        <v>182</v>
      </c>
      <c r="B33" s="154">
        <f>B28+B29+B30+B31+B32</f>
        <v>10.521000000000001</v>
      </c>
      <c r="C33" s="124"/>
      <c r="D33" s="130">
        <f>D28+D29+D30+D31+D32</f>
        <v>6312.6</v>
      </c>
    </row>
    <row r="34" spans="1:4" ht="15.75">
      <c r="A34" s="266" t="s">
        <v>192</v>
      </c>
      <c r="B34" s="266"/>
      <c r="C34" s="266"/>
      <c r="D34" s="266"/>
    </row>
    <row r="35" spans="1:4" ht="31.5">
      <c r="A35" s="121" t="s">
        <v>176</v>
      </c>
      <c r="B35" s="121" t="s">
        <v>177</v>
      </c>
      <c r="C35" s="121" t="s">
        <v>178</v>
      </c>
      <c r="D35" s="121" t="s">
        <v>179</v>
      </c>
    </row>
    <row r="36" spans="1:4" ht="15.75">
      <c r="A36" s="122" t="s">
        <v>180</v>
      </c>
      <c r="B36" s="127">
        <v>0.86799999999999999</v>
      </c>
      <c r="C36" s="122">
        <v>0.6</v>
      </c>
      <c r="D36" s="122">
        <f>SUM(B36*C36)*1000</f>
        <v>520.79999999999995</v>
      </c>
    </row>
    <row r="37" spans="1:4" ht="15.75">
      <c r="A37" s="124" t="s">
        <v>182</v>
      </c>
      <c r="B37" s="154">
        <f>SUM(B36)</f>
        <v>0.86799999999999999</v>
      </c>
      <c r="C37" s="124"/>
      <c r="D37" s="132">
        <f>SUM(D36)</f>
        <v>520.79999999999995</v>
      </c>
    </row>
    <row r="38" spans="1:4" ht="15.75">
      <c r="A38" s="266" t="s">
        <v>193</v>
      </c>
      <c r="B38" s="266"/>
      <c r="C38" s="266"/>
      <c r="D38" s="266"/>
    </row>
    <row r="39" spans="1:4" ht="31.5">
      <c r="A39" s="121" t="s">
        <v>176</v>
      </c>
      <c r="B39" s="121" t="s">
        <v>177</v>
      </c>
      <c r="C39" s="121" t="s">
        <v>178</v>
      </c>
      <c r="D39" s="121" t="s">
        <v>179</v>
      </c>
    </row>
    <row r="40" spans="1:4">
      <c r="A40" s="259" t="s">
        <v>180</v>
      </c>
      <c r="B40" s="261">
        <v>1.9746999999999999</v>
      </c>
      <c r="C40" s="261">
        <v>0.6</v>
      </c>
      <c r="D40" s="263">
        <f>SUM(B40*C40)*1000</f>
        <v>1184.82</v>
      </c>
    </row>
    <row r="41" spans="1:4">
      <c r="A41" s="260"/>
      <c r="B41" s="262"/>
      <c r="C41" s="262"/>
      <c r="D41" s="264"/>
    </row>
    <row r="42" spans="1:4" ht="15.75" hidden="1">
      <c r="A42" s="218" t="s">
        <v>194</v>
      </c>
      <c r="B42" s="219"/>
      <c r="C42" s="219"/>
      <c r="D42" s="122">
        <f>SUM(B42*C42)*1000</f>
        <v>0</v>
      </c>
    </row>
    <row r="43" spans="1:4" ht="15.75" hidden="1">
      <c r="A43" s="122" t="s">
        <v>184</v>
      </c>
      <c r="B43" s="121"/>
      <c r="C43" s="121"/>
      <c r="D43" s="122">
        <f>SUM(B43*C43)*1000</f>
        <v>0</v>
      </c>
    </row>
    <row r="44" spans="1:4" ht="15.75" hidden="1">
      <c r="A44" s="133" t="s">
        <v>195</v>
      </c>
      <c r="B44" s="121"/>
      <c r="C44" s="121"/>
      <c r="D44" s="126">
        <f>SUM(B44*C44)*1000</f>
        <v>0</v>
      </c>
    </row>
    <row r="45" spans="1:4" ht="15.75">
      <c r="A45" s="124" t="s">
        <v>182</v>
      </c>
      <c r="B45" s="155">
        <f>SUM(B40:B44)</f>
        <v>1.9746999999999999</v>
      </c>
      <c r="C45" s="124"/>
      <c r="D45" s="132">
        <f>SUM(D40:D44)</f>
        <v>1184.82</v>
      </c>
    </row>
    <row r="46" spans="1:4" ht="15.75">
      <c r="A46" s="174"/>
      <c r="B46" s="232"/>
      <c r="C46" s="174"/>
      <c r="D46" s="233"/>
    </row>
    <row r="47" spans="1:4" ht="15.75">
      <c r="A47" s="266" t="s">
        <v>272</v>
      </c>
      <c r="B47" s="266"/>
      <c r="C47" s="266"/>
      <c r="D47" s="266"/>
    </row>
    <row r="48" spans="1:4" ht="31.5">
      <c r="A48" s="121" t="s">
        <v>176</v>
      </c>
      <c r="B48" s="121" t="s">
        <v>177</v>
      </c>
      <c r="C48" s="121" t="s">
        <v>178</v>
      </c>
      <c r="D48" s="121" t="s">
        <v>179</v>
      </c>
    </row>
    <row r="49" spans="1:4">
      <c r="A49" s="259" t="s">
        <v>180</v>
      </c>
      <c r="B49" s="261">
        <v>3.641</v>
      </c>
      <c r="C49" s="261">
        <v>0.6</v>
      </c>
      <c r="D49" s="263">
        <f>SUM(B49*C49)*1000</f>
        <v>2184.6</v>
      </c>
    </row>
    <row r="50" spans="1:4">
      <c r="A50" s="260"/>
      <c r="B50" s="262"/>
      <c r="C50" s="262"/>
      <c r="D50" s="264"/>
    </row>
    <row r="51" spans="1:4" ht="15.75" hidden="1">
      <c r="A51" s="218" t="s">
        <v>194</v>
      </c>
      <c r="B51" s="219"/>
      <c r="C51" s="219"/>
      <c r="D51" s="122">
        <f>SUM(B51*C51)*1000</f>
        <v>0</v>
      </c>
    </row>
    <row r="52" spans="1:4" ht="15.75" hidden="1">
      <c r="A52" s="122" t="s">
        <v>184</v>
      </c>
      <c r="B52" s="121"/>
      <c r="C52" s="121"/>
      <c r="D52" s="122">
        <f>SUM(B52*C52)*1000</f>
        <v>0</v>
      </c>
    </row>
    <row r="53" spans="1:4" ht="15.75" hidden="1">
      <c r="A53" s="133" t="s">
        <v>195</v>
      </c>
      <c r="B53" s="121"/>
      <c r="C53" s="121"/>
      <c r="D53" s="126">
        <f>SUM(B53*C53)*1000</f>
        <v>0</v>
      </c>
    </row>
    <row r="54" spans="1:4" ht="15.75">
      <c r="A54" s="124" t="s">
        <v>182</v>
      </c>
      <c r="B54" s="155">
        <f>SUM(B49:B53)</f>
        <v>3.641</v>
      </c>
      <c r="C54" s="124"/>
      <c r="D54" s="132">
        <f>SUM(D49:D53)</f>
        <v>2184.6</v>
      </c>
    </row>
    <row r="55" spans="1:4" ht="15.75">
      <c r="A55" s="266" t="s">
        <v>196</v>
      </c>
      <c r="B55" s="266"/>
      <c r="C55" s="266"/>
      <c r="D55" s="266"/>
    </row>
    <row r="56" spans="1:4" ht="31.5">
      <c r="A56" s="121" t="s">
        <v>176</v>
      </c>
      <c r="B56" s="121" t="s">
        <v>177</v>
      </c>
      <c r="C56" s="121" t="s">
        <v>178</v>
      </c>
      <c r="D56" s="121" t="s">
        <v>179</v>
      </c>
    </row>
    <row r="57" spans="1:4" ht="15.75">
      <c r="A57" s="122" t="s">
        <v>180</v>
      </c>
      <c r="B57" s="127">
        <f>SUM(B42+B4+B5+B6+B10+B16+B17+B18+B23+B28+B29+B36+B40+B54)</f>
        <v>56.591500000000003</v>
      </c>
      <c r="C57" s="122"/>
      <c r="D57" s="129">
        <f>SUM(D42+D4+D5+D6+D10+D16+D17+D18+D23+D28+D29+D36+D40+D54)</f>
        <v>33954.9</v>
      </c>
    </row>
    <row r="58" spans="1:4" ht="15.75">
      <c r="A58" s="122" t="s">
        <v>184</v>
      </c>
      <c r="B58" s="127">
        <f>SUM(B11+B19+B24+B30+B43)</f>
        <v>0</v>
      </c>
      <c r="C58" s="122"/>
      <c r="D58" s="129">
        <f>SUM(D11+D19+D24+D30+D43)</f>
        <v>0</v>
      </c>
    </row>
    <row r="59" spans="1:4" ht="15.75">
      <c r="A59" s="122" t="s">
        <v>189</v>
      </c>
      <c r="B59" s="122">
        <f>SUM(B31)</f>
        <v>0</v>
      </c>
      <c r="C59" s="122"/>
      <c r="D59" s="122">
        <f>SUM(D31)</f>
        <v>0</v>
      </c>
    </row>
    <row r="60" spans="1:4" ht="15.75">
      <c r="A60" s="122" t="s">
        <v>195</v>
      </c>
      <c r="B60" s="122">
        <f>SUM(B32+B44)</f>
        <v>0</v>
      </c>
      <c r="C60" s="122"/>
      <c r="D60" s="126">
        <f>SUM(D32+D44)</f>
        <v>0</v>
      </c>
    </row>
    <row r="61" spans="1:4" ht="15.75">
      <c r="A61" s="122" t="s">
        <v>185</v>
      </c>
      <c r="B61" s="126">
        <f>SUM(B12)</f>
        <v>0</v>
      </c>
      <c r="C61" s="122"/>
      <c r="D61" s="126">
        <f>SUM(D12)</f>
        <v>0</v>
      </c>
    </row>
    <row r="62" spans="1:4" ht="15.75">
      <c r="A62" s="124" t="s">
        <v>182</v>
      </c>
      <c r="B62" s="134">
        <f>SUM(B57:B61)</f>
        <v>56.591500000000003</v>
      </c>
      <c r="C62" s="124"/>
      <c r="D62" s="131">
        <f>SUM(D57:D61)</f>
        <v>33954.9</v>
      </c>
    </row>
    <row r="63" spans="1:4" ht="15.75">
      <c r="A63" s="266" t="s">
        <v>197</v>
      </c>
      <c r="B63" s="266"/>
      <c r="C63" s="266"/>
      <c r="D63" s="266"/>
    </row>
    <row r="64" spans="1:4" ht="31.5">
      <c r="A64" s="121" t="s">
        <v>176</v>
      </c>
      <c r="B64" s="121" t="s">
        <v>177</v>
      </c>
      <c r="C64" s="121" t="s">
        <v>178</v>
      </c>
      <c r="D64" s="121" t="s">
        <v>179</v>
      </c>
    </row>
    <row r="65" spans="1:11" ht="15.75">
      <c r="A65" s="122" t="s">
        <v>180</v>
      </c>
      <c r="B65" s="153">
        <v>3.4830000000000001</v>
      </c>
      <c r="C65" s="122">
        <v>1.173</v>
      </c>
      <c r="D65" s="122">
        <f>SUM(B65*C65)*1000</f>
        <v>4085.5589999999997</v>
      </c>
    </row>
    <row r="66" spans="1:11" ht="15.75">
      <c r="A66" s="122" t="s">
        <v>180</v>
      </c>
      <c r="B66" s="153"/>
      <c r="C66" s="122"/>
      <c r="D66" s="122">
        <f>SUM(B66*C66)*1000</f>
        <v>0</v>
      </c>
    </row>
    <row r="67" spans="1:11" ht="15.75">
      <c r="A67" s="124" t="s">
        <v>182</v>
      </c>
      <c r="B67" s="125">
        <f>SUM(B65:B66)</f>
        <v>3.4830000000000001</v>
      </c>
      <c r="C67" s="124"/>
      <c r="D67" s="125">
        <f>SUM(D65:D66)</f>
        <v>4085.5589999999997</v>
      </c>
      <c r="J67" s="114">
        <v>7.6520000000000001</v>
      </c>
      <c r="K67" s="114">
        <v>5734.2629999999999</v>
      </c>
    </row>
    <row r="68" spans="1:11" ht="15.75">
      <c r="A68" s="266" t="s">
        <v>198</v>
      </c>
      <c r="B68" s="266"/>
      <c r="C68" s="266"/>
      <c r="D68" s="266"/>
      <c r="J68" s="114">
        <v>84.887</v>
      </c>
      <c r="K68" s="114">
        <v>17656</v>
      </c>
    </row>
    <row r="69" spans="1:11" ht="31.5">
      <c r="A69" s="121" t="s">
        <v>176</v>
      </c>
      <c r="B69" s="121" t="s">
        <v>177</v>
      </c>
      <c r="C69" s="121" t="s">
        <v>178</v>
      </c>
      <c r="D69" s="121" t="s">
        <v>179</v>
      </c>
      <c r="J69" s="114">
        <v>864.06799999999998</v>
      </c>
      <c r="K69" s="114">
        <v>1641.73</v>
      </c>
    </row>
    <row r="70" spans="1:11" ht="15.75">
      <c r="A70" s="122" t="s">
        <v>180</v>
      </c>
      <c r="B70" s="126">
        <v>45.59328</v>
      </c>
      <c r="C70" s="122">
        <v>0.84499999999999997</v>
      </c>
      <c r="D70" s="135">
        <f>SUM(B70*C70*1000)</f>
        <v>38526.321599999996</v>
      </c>
      <c r="F70" s="114">
        <v>66.887</v>
      </c>
      <c r="J70" s="114">
        <v>46.85</v>
      </c>
      <c r="K70" s="114">
        <v>505.98</v>
      </c>
    </row>
    <row r="71" spans="1:11" ht="15.75">
      <c r="A71" s="124" t="s">
        <v>182</v>
      </c>
      <c r="B71" s="152">
        <f>SUM(B70)</f>
        <v>45.59328</v>
      </c>
      <c r="C71" s="124"/>
      <c r="D71" s="136">
        <f>SUM(D70)</f>
        <v>38526.321599999996</v>
      </c>
      <c r="F71" s="114">
        <v>19</v>
      </c>
      <c r="J71" s="173">
        <f>SUM(J67:J70)</f>
        <v>1003.457</v>
      </c>
      <c r="K71" s="173">
        <f>SUM(K67:K70)</f>
        <v>25537.972999999998</v>
      </c>
    </row>
    <row r="72" spans="1:11" ht="15.75">
      <c r="A72" s="266" t="s">
        <v>199</v>
      </c>
      <c r="B72" s="266"/>
      <c r="C72" s="266"/>
      <c r="D72" s="266"/>
    </row>
    <row r="73" spans="1:11" ht="31.5">
      <c r="A73" s="121" t="s">
        <v>176</v>
      </c>
      <c r="B73" s="121" t="s">
        <v>177</v>
      </c>
      <c r="C73" s="121" t="s">
        <v>178</v>
      </c>
      <c r="D73" s="121" t="s">
        <v>179</v>
      </c>
    </row>
    <row r="74" spans="1:11" ht="15.75">
      <c r="A74" s="259" t="s">
        <v>180</v>
      </c>
      <c r="B74" s="122"/>
      <c r="C74" s="122">
        <v>1E-3</v>
      </c>
      <c r="D74" s="122">
        <f>SUM(B74*C74)*1000</f>
        <v>0</v>
      </c>
      <c r="G74" s="114">
        <v>562.98</v>
      </c>
      <c r="I74" s="114">
        <v>112252.9</v>
      </c>
    </row>
    <row r="75" spans="1:11" ht="15.75">
      <c r="A75" s="260"/>
      <c r="B75" s="122">
        <v>521.86</v>
      </c>
      <c r="C75" s="122">
        <v>1.9E-3</v>
      </c>
      <c r="D75" s="122">
        <f>SUM(B75*C75)*1000</f>
        <v>991.53399999999999</v>
      </c>
      <c r="G75" s="114">
        <v>1003.457</v>
      </c>
      <c r="I75" s="114">
        <v>25537.97</v>
      </c>
    </row>
    <row r="76" spans="1:11" ht="15.75">
      <c r="A76" s="124" t="s">
        <v>182</v>
      </c>
      <c r="B76" s="125">
        <f>SUM(B74:B75)</f>
        <v>521.86</v>
      </c>
      <c r="C76" s="124"/>
      <c r="D76" s="130">
        <f>SUM(D74:D75)</f>
        <v>991.53399999999999</v>
      </c>
      <c r="G76" s="114">
        <f>SUM(G74:G75)</f>
        <v>1566.4369999999999</v>
      </c>
      <c r="I76" s="114">
        <f>SUM(I74:I75)</f>
        <v>137790.87</v>
      </c>
    </row>
    <row r="77" spans="1:11" ht="15.75">
      <c r="A77" s="266" t="s">
        <v>200</v>
      </c>
      <c r="B77" s="266"/>
      <c r="C77" s="266"/>
      <c r="D77" s="266"/>
    </row>
    <row r="78" spans="1:11" ht="31.5">
      <c r="A78" s="121" t="s">
        <v>176</v>
      </c>
      <c r="B78" s="121" t="s">
        <v>177</v>
      </c>
      <c r="C78" s="121" t="s">
        <v>178</v>
      </c>
      <c r="D78" s="121" t="s">
        <v>179</v>
      </c>
    </row>
    <row r="79" spans="1:11" ht="15.75">
      <c r="A79" s="269" t="s">
        <v>180</v>
      </c>
      <c r="B79" s="137"/>
      <c r="C79" s="121">
        <v>0.01</v>
      </c>
      <c r="D79" s="121">
        <f>SUM(B79*C79*1000)</f>
        <v>0</v>
      </c>
    </row>
    <row r="80" spans="1:11" ht="15.75">
      <c r="A80" s="270"/>
      <c r="B80" s="138">
        <v>13.127345999999999</v>
      </c>
      <c r="C80" s="139">
        <v>1.0800000000000001E-2</v>
      </c>
      <c r="D80" s="140">
        <f>SUM(B80*C80*1000)</f>
        <v>141.77533680000002</v>
      </c>
    </row>
    <row r="81" spans="1:4" ht="15.75">
      <c r="A81" s="124" t="s">
        <v>182</v>
      </c>
      <c r="B81" s="152">
        <f>SUM(B79:B80)</f>
        <v>13.127345999999999</v>
      </c>
      <c r="C81" s="124"/>
      <c r="D81" s="130">
        <f>SUM(D79:D80)</f>
        <v>141.77533680000002</v>
      </c>
    </row>
    <row r="82" spans="1:4" ht="15.75">
      <c r="A82" s="174" t="s">
        <v>229</v>
      </c>
      <c r="B82" s="175"/>
      <c r="C82" s="174"/>
      <c r="D82" s="176"/>
    </row>
    <row r="83" spans="1:4" ht="15.75">
      <c r="A83" s="174"/>
      <c r="B83" s="175"/>
      <c r="C83" s="174"/>
      <c r="D83" s="176"/>
    </row>
    <row r="84" spans="1:4" ht="15.75">
      <c r="A84" s="266" t="s">
        <v>196</v>
      </c>
      <c r="B84" s="266"/>
      <c r="C84" s="266"/>
      <c r="D84" s="266"/>
    </row>
    <row r="85" spans="1:4" ht="15.75">
      <c r="A85" s="116" t="s">
        <v>182</v>
      </c>
      <c r="B85" s="117">
        <f>SUM(B62+B67+B71+B76+B81)</f>
        <v>640.655126</v>
      </c>
      <c r="C85" s="116">
        <f>SUM(C7+C13+C20+C25+C33+C37+C45+C67+C71+C76+C81)</f>
        <v>0</v>
      </c>
      <c r="D85" s="117">
        <f>SUM(D62+D67+D71+D76+D81)</f>
        <v>77700.089936799995</v>
      </c>
    </row>
    <row r="86" spans="1:4" ht="15.75">
      <c r="A86" s="118"/>
      <c r="B86" s="118"/>
      <c r="C86" s="118"/>
      <c r="D86" s="118"/>
    </row>
    <row r="87" spans="1:4" ht="15.75">
      <c r="A87" s="118"/>
      <c r="B87" s="116"/>
      <c r="C87" s="116"/>
      <c r="D87" s="117"/>
    </row>
  </sheetData>
  <mergeCells count="27">
    <mergeCell ref="A79:A80"/>
    <mergeCell ref="A84:D84"/>
    <mergeCell ref="A47:D47"/>
    <mergeCell ref="A49:A50"/>
    <mergeCell ref="B49:B50"/>
    <mergeCell ref="C49:C50"/>
    <mergeCell ref="D49:D50"/>
    <mergeCell ref="A55:D55"/>
    <mergeCell ref="A63:D63"/>
    <mergeCell ref="A68:D68"/>
    <mergeCell ref="A72:D72"/>
    <mergeCell ref="A74:A75"/>
    <mergeCell ref="A77:D77"/>
    <mergeCell ref="A40:A41"/>
    <mergeCell ref="B40:B41"/>
    <mergeCell ref="C40:C41"/>
    <mergeCell ref="D40:D41"/>
    <mergeCell ref="A1:D1"/>
    <mergeCell ref="A2:D2"/>
    <mergeCell ref="A5:A6"/>
    <mergeCell ref="A8:D8"/>
    <mergeCell ref="A14:D14"/>
    <mergeCell ref="A21:D21"/>
    <mergeCell ref="A26:D26"/>
    <mergeCell ref="A28:A29"/>
    <mergeCell ref="A34:D34"/>
    <mergeCell ref="A38:D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01.06.2018 прямая </vt:lpstr>
      <vt:lpstr>01.06.2018 ТМЗ </vt:lpstr>
      <vt:lpstr>Каракыст 01.06.2018</vt:lpstr>
      <vt:lpstr>Тасоткел 01.06.2018</vt:lpstr>
      <vt:lpstr>01.06.20181-ВХ</vt:lpstr>
      <vt:lpstr>'01.06.2018 ТМЗ '!Область_печати</vt:lpstr>
      <vt:lpstr>'Каракыст 01.06.2018'!Область_печати</vt:lpstr>
      <vt:lpstr>'Тасоткел 01.06.2018'!Область_печати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2018-06-14T12:30:56Z</cp:lastPrinted>
  <dcterms:created xsi:type="dcterms:W3CDTF">2017-07-12T11:15:43Z</dcterms:created>
  <dcterms:modified xsi:type="dcterms:W3CDTF">2018-06-14T12:34:50Z</dcterms:modified>
</cp:coreProperties>
</file>