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2017 год" sheetId="1" r:id="rId1"/>
  </sheets>
  <definedNames>
    <definedName name="_xlnm.Print_Titles" localSheetId="0">'2017 год'!$6:$8</definedName>
    <definedName name="_xlnm.Print_Area" localSheetId="0">'2017 год'!$A$1:$J$72</definedName>
  </definedNames>
  <calcPr fullCalcOnLoad="1"/>
</workbook>
</file>

<file path=xl/sharedStrings.xml><?xml version="1.0" encoding="utf-8"?>
<sst xmlns="http://schemas.openxmlformats.org/spreadsheetml/2006/main" count="212" uniqueCount="157">
  <si>
    <t>№ п/п</t>
  </si>
  <si>
    <t>ГСМ</t>
  </si>
  <si>
    <t>Наименование показателей *</t>
  </si>
  <si>
    <t>Единица измерения</t>
  </si>
  <si>
    <t>I</t>
  </si>
  <si>
    <t>Затраты на производство товаров и предоставление услуг, 
всего в том числе</t>
  </si>
  <si>
    <t>тыс.тенге</t>
  </si>
  <si>
    <t>1.1</t>
  </si>
  <si>
    <t>1.2</t>
  </si>
  <si>
    <t>энергия</t>
  </si>
  <si>
    <t>2</t>
  </si>
  <si>
    <t>Материальные затраты, всего 
в том числе</t>
  </si>
  <si>
    <t>Затраты на оплату труда, всего 
в том числе</t>
  </si>
  <si>
    <t>2.1</t>
  </si>
  <si>
    <t>2.2</t>
  </si>
  <si>
    <t>3</t>
  </si>
  <si>
    <t>Амортизация</t>
  </si>
  <si>
    <t>4</t>
  </si>
  <si>
    <t>Ремонт, всего 
в том числе</t>
  </si>
  <si>
    <t>4.1</t>
  </si>
  <si>
    <t>капитальный ремонт, не приводящий к увеличению стоимости основных средств</t>
  </si>
  <si>
    <t>5</t>
  </si>
  <si>
    <t>Прочие затраты, всего 
в том числе</t>
  </si>
  <si>
    <t>5.1</t>
  </si>
  <si>
    <t>охрана труда и техника безопасности</t>
  </si>
  <si>
    <t>5.2</t>
  </si>
  <si>
    <t>5.4</t>
  </si>
  <si>
    <t>другие затраты (необходимо расшифровать)</t>
  </si>
  <si>
    <t>-//-</t>
  </si>
  <si>
    <t>II</t>
  </si>
  <si>
    <t>Расходы периода,
всего</t>
  </si>
  <si>
    <t>6</t>
  </si>
  <si>
    <t>Общие и административные расходы, всего
в том числе</t>
  </si>
  <si>
    <t>6.1</t>
  </si>
  <si>
    <t>6.2</t>
  </si>
  <si>
    <t>6.3</t>
  </si>
  <si>
    <t>заработная плата административного персонала</t>
  </si>
  <si>
    <t>социальный налог</t>
  </si>
  <si>
    <t>амортизация</t>
  </si>
  <si>
    <t>коммунальные услуги</t>
  </si>
  <si>
    <t>командировочные расходы</t>
  </si>
  <si>
    <t>услуги банка</t>
  </si>
  <si>
    <t>налоги</t>
  </si>
  <si>
    <t>7</t>
  </si>
  <si>
    <t>III</t>
  </si>
  <si>
    <t>IV</t>
  </si>
  <si>
    <t>V</t>
  </si>
  <si>
    <t>VI</t>
  </si>
  <si>
    <t>VII</t>
  </si>
  <si>
    <t>VIII</t>
  </si>
  <si>
    <t>Всего затрат</t>
  </si>
  <si>
    <t>Прибыль</t>
  </si>
  <si>
    <t>Всего доходов</t>
  </si>
  <si>
    <t>Нормативные потери</t>
  </si>
  <si>
    <t>Тариф (без НДС)</t>
  </si>
  <si>
    <t>Объем оказываемых услуг</t>
  </si>
  <si>
    <t>тыс.м3</t>
  </si>
  <si>
    <t>%</t>
  </si>
  <si>
    <t>сырье и материалы</t>
  </si>
  <si>
    <t>затраты на поверку и аттестацию приборов учета, лабораторий, обслед. энергооборудования</t>
  </si>
  <si>
    <t>выплаты, в случаях, когда постоянная работа протекает в пути или имеет разъездной характер</t>
  </si>
  <si>
    <t>дератизационные, дезинфекционные, дезинсекционные работы</t>
  </si>
  <si>
    <t>заработная плата</t>
  </si>
  <si>
    <t>обслуживание оргтехники</t>
  </si>
  <si>
    <t>канцелярские товары</t>
  </si>
  <si>
    <t>прочие</t>
  </si>
  <si>
    <t>вывоз мусора</t>
  </si>
  <si>
    <t>5.3</t>
  </si>
  <si>
    <t>затраты на экологию</t>
  </si>
  <si>
    <t>7.1</t>
  </si>
  <si>
    <t>7.2</t>
  </si>
  <si>
    <t>7.3</t>
  </si>
  <si>
    <t>8</t>
  </si>
  <si>
    <t>Другие расходы, всего
в том числе</t>
  </si>
  <si>
    <t>8.1</t>
  </si>
  <si>
    <t>8.2</t>
  </si>
  <si>
    <t>подписка</t>
  </si>
  <si>
    <t>8.3</t>
  </si>
  <si>
    <t>8.4</t>
  </si>
  <si>
    <t>8.5</t>
  </si>
  <si>
    <t>обслуживание и ремонт основных средств и нематериальных активов</t>
  </si>
  <si>
    <t>обязательное страхование</t>
  </si>
  <si>
    <t>топливо</t>
  </si>
  <si>
    <t>КУЭ</t>
  </si>
  <si>
    <t>Услуги сторонних организаций, т том числе</t>
  </si>
  <si>
    <t>затраты по исследованию воды</t>
  </si>
  <si>
    <t>поверка и аттестация приборов учёта лаборатории НФС</t>
  </si>
  <si>
    <t>6.4</t>
  </si>
  <si>
    <t>6.5</t>
  </si>
  <si>
    <t>коммунальные услуги на собственные нужды</t>
  </si>
  <si>
    <t>услуги связи</t>
  </si>
  <si>
    <t>1.3</t>
  </si>
  <si>
    <t>1.4</t>
  </si>
  <si>
    <t>Справочно:</t>
  </si>
  <si>
    <t>Среднесписочная численность работников, всего:</t>
  </si>
  <si>
    <t>в том числе:</t>
  </si>
  <si>
    <t>производственного персонала</t>
  </si>
  <si>
    <t>административного персонала</t>
  </si>
  <si>
    <t>Средняя заработная плата</t>
  </si>
  <si>
    <t>тенге</t>
  </si>
  <si>
    <t>чел.</t>
  </si>
  <si>
    <t>консультационные  и аудиторские услуги</t>
  </si>
  <si>
    <t>Филиал "Канал имени Каныша Сатпаева" РГП "Казводхоз"</t>
  </si>
  <si>
    <t>Отклонение, %</t>
  </si>
  <si>
    <t>отклонение, тыс. тенге</t>
  </si>
  <si>
    <t>В предыдущие  с 2000 по 2008 годы тариф на услуги по подаче воды по каналу не пересматривался. За этот период заработная плата ежегодно повышалась и не соответствовала заработной плате, утвержденной в тарифной смете. При утверждении предельных уровней тарифов и тарифных смет статья "заработная плата" была принята в соответствии с Правилами фоормирования затрат, где данная статья была принята как средняя заработная плата в предыдущей тарифной смете с учетом процента инфляции. Следовательно, фактическая заработная плата ежегодно не соответствует утвержденной в тарифной смете.</t>
  </si>
  <si>
    <t>Причины неисполнения</t>
  </si>
  <si>
    <t>Приложение 1</t>
  </si>
  <si>
    <t>Фактические затраты составили 4 493 671,4,0 тыс.тенге, при плане –5 463 582,7,0 тыс.тенге. По данной статье наблюдается экономия  в размере 969 911,3,0,0 тыс.тенге. Данный факт вызван недобором заявленных объемов воды водопотребителями и корректировок ими объемов воды в течение года в сторону уменьшения. Также в связи с погодными условиями в летний период, произошло уменьшение затрат на восполнение потерь на испарение с водоемов канала.</t>
  </si>
  <si>
    <t>Социальный налог – 173 243,0 тыс.тенге, при плане – 160 000,0 тыс. тенге. Отклонение  - 8% в соответствии с увеличением фонда оплаты труда работников.</t>
  </si>
  <si>
    <t>При плане 600 860,0 тыс. тенге фактические затраты составили 529 229,8,0 тыс. тенге. Отклонение 12%.</t>
  </si>
  <si>
    <t xml:space="preserve">При плане 6 153,0 тыс. тенге, фактические затраты по данной статье составили 6 054,0  тыс. тенге. Отклонение –99,0 тыс.тенге или 1% Мероприятия выполнены на 100%. Данное отклонение является экономией.. В данную статью вошли затраты на экологическое страхование, по утилизации опасных отходов, инструментальные замеры выбросов вредных веществ в окружающую среду, услуги по бактериологическому и паразитологическому анализу проб воды и других мероприятий в связи с экологическими требованиями. </t>
  </si>
  <si>
    <t xml:space="preserve">В данную статью вошли плата за пользование водными ресурсами поверхностных источников,  плата за эмиссии в окружающую среду, плата за пользование земельными участками, налог на имущество, земельный налог, налог на транспорт, плата за пользование животным миром, плата за эмиссии от передвижных и стационарных источников налог на добычу полезных ископаемых (подземные воды), платы за эмиссии от размещения отходов производства и др. Фактические затраты составили 141 902,5,0 тыс. тенге, при плане 139 890,0 тыс. тенге. Повышение от плана на 1%.  </t>
  </si>
  <si>
    <t>При плане 239 641,0 тыс. тенге, фактические затраты на обслуживание производственных участком составили 176 527,9 тыс. тенге. Экономия - 63 113,1 тыс. тенге.</t>
  </si>
  <si>
    <t>Социальный налог увеличен в связи с фактическими затратами по фонду оплаты труда и при плане 17 367,0 тыс. тенге, фактические затраты составили 37 626,0 тыс. тенге. Отклонение – 20 259,0 тыс. тенге.В данную статю также включен социальный налог, начисляемый на матпомщь на оздоровление.</t>
  </si>
  <si>
    <t xml:space="preserve">При плане 8 594,0 тыс. тенге, фактические затраты по данной статье составили 9 519,0 тыс. тенге. Увеличение на 925,0 тыс.тенге или 11%. В связи с необходимостью, на основании служебных записок отдела механизации были проведены ремонт и  техническое обслуживание автотранспорта,  также ремонт компьютеров,   обслуживание программ бухгалтерского учета , программного комплекса для составления сметных документаций АВС-4,  информационной системы " Параграф" т.д. </t>
  </si>
  <si>
    <t xml:space="preserve">При плане 1 727,0 тыс. тенге, фактические затраты по данной статье составили 1683,0 тыс. тенге. Исполнение -100%. Экономия - 44,2 тыс. тенге.  </t>
  </si>
  <si>
    <t>При плане 11 733,0 тыс. тенге, фактические затраты по данной статье составили 11 724,0 тыс. тенге, отклонение 0,08%.</t>
  </si>
  <si>
    <t>Доходы от предоставления услуги по подаче воды по каналу уменьшились в связи с корректировкой объемов вотопотребления в сторону уменьшения потребителями. Также недополучен доход по природоохранному компенсационному попуску в реку Тузды. Недополучение дохода 3%.</t>
  </si>
  <si>
    <t xml:space="preserve">При плане 29 346,0 тыс. тенге, фактические амортизационные отчисления составили 37 304,0 тыс. тенге.Увеличение на 7 957 ,8 тыс. тенге в связи с приобретением основных средств по инвестиционной программе. </t>
  </si>
  <si>
    <t xml:space="preserve">Подача воды потребителям Павлодарской и Карагандинской областей  осуществлялась согласно объемам и в сроки, предусмотренные договорами  с водопотребителями на предоставление услуги по подаче воды, с учетом корректировок, производимых водопотребителями. В течение отчетного периода, в зависимости от состояния производства водопотребителей, пользующихся водой канала, климатических условий в зоне канала, экономических условий периода, водопотребителями производилась корректировка договорных объемов воды в сроки и на условиях, предусмотренных договорами. Также не был подан природоохраннй попуск в реку Тузды на 10,5 млн. м3. Отклонение от плана 4,7%.
В течение года снизили договорные объемы водопотребления следующие основные водопотребители:
- АО "Станция Экибастузкас ГРЭС-2" -  1,0 млн.м3,                                                                                                                              - Горводоканал г. Экибастуза - 2,9 мл.м3.,                                                                                                                                        
- ТОО «Караганды Су» – на 6,9 млн. м3
- сельхозпроизводители Павлодарской области - на 5,1млн. м3
- сельхозпроизводители Карагандинской области - на 2,3 млн. м3
Снижение объемов водопотребления коммунальными предприятиями мотивируется недобором плановых объемов воды их вторичными водопотребителями. 
</t>
  </si>
  <si>
    <t xml:space="preserve">При плане 647,0 тыс. тенге, фактические затраты по данной статье составили 248,2 тыс. тенге, исполнение 100%.  По итогам государственных закупок услуги оказывал поставщик, предложивший наименьшее ценовое предложение. Экономия- 398,8,0 тыс. тенге.Часть затрат предприятия, понесенных по коммунальным услугам была возмещена сторонними организациями находящимися в здании предприятия по иной деятельности "Возмещение коммунальных услуг". </t>
  </si>
  <si>
    <t>При плане 4 693,0  тыс. тенге, фактические затраты по данной статье составили 3 972,6 тыс. тенге, отклонение в виде экономии - 720,4 тыс. тенге. На предприятии используется  около 3500 единиц различных средств измерений – теплотехнических (манометры, термометры), электромагнитных (амперметры, вольтметры, счетчики электрической энергии и т. п.), геометрических (штангенциркули, микрометры  и т. п.). Для выполнения требований закона «Об обеспечении единства измерений» необходимо ведение графика поверки, согласно установленному образцу и проведение поверки всех средств измерений, согласно утвержденному межповерочному интервалу. Поверка проводится для подтверждения пригодности средств измерений к работе. Поскольку деятельность предприятия связана с обеспечением жизнедеятельности и с безопасностью работы людей, средства измерений, согласно Закону РК «Об обеспечении единства измерений»,  относятся к сфере государственного метрологического контроля и должны подвергаться периодической поверке. За невыполнение требований закона предусмотрена административная ответственность.Проведены работы по поверке электромагнитных, радиотехнических, физико-химических,теплотехнических средств измерений и их ремонту. Также в состав предприятия входят три лаборатории качества воды. Для признания результатов проводимых анализов, необходимого для получения лицензии на основную деятельность по подаче воды, данные лаборатории проходят периодическую государственную аттестацию. Исполнение 100%.</t>
  </si>
  <si>
    <t>При плане 717,0 тыс. тенге, фактические затраты по данной статье составили 671,6 тыс. тенге. Исполнение 100%. Экономия 45,4 тыс. тенге. По итогам государственных закупок победителем является поставщик предложивший наименьшую сумму.</t>
  </si>
  <si>
    <t>При плане 3 585,0 тыс. тенге, фактические затраты по данной статье составили 4 808,5 тыс. тенге, исполнение - 100% .увеличение затрат на 1 223,5 тыс. тенге.</t>
  </si>
  <si>
    <t xml:space="preserve">В данную статью вошли затраты по списанию материалов на эксплуатацию автотранспорта, материалов ремонтного фонда, рыбопосадочного материала, списание автошин, аккумуляторов, запасных частей, кроме того, затраты на техническое обслуживание электрооборудования и т.д.  В результате сумма затрат по данной статье составила 332 759,0 тыс.тенге, при плане 420 452,0 тыс. тенге, отклонение – 87 693,0  тыс.тенге, что на 21% ниже затрат утвержденных в тарифной смете.  Неисполнение связано в связи с недополучением запланированного дохода, вследствие чего, затраты производились не в полном объеме, также на своевременое исполнение, закуп необходимых материалов повлияла процедура проведения государственных закупок, где по итогам поставщики по многим позициям не объявлялись в связи низкой стоимостью или же выявлялись недобросовестыне поставщики. Повторное объявление государственных закупок и их исполнение занимает определенное время. </t>
  </si>
  <si>
    <t xml:space="preserve">В статью затрат «ГСМ»  вошли затраты по списанию бензина, дизельного топлива, масел (трансформаторного, машинного) и прочих смазочных материалов. Сумма затрат по данной статье составила 150 146,0 тыс.тенге, при плане 152 900,0 тыс. тенге, отклонение –2 754,0 тыс. тенге, что на 2%  ниже затрат в утвержденных в тарифной смете.  </t>
  </si>
  <si>
    <t xml:space="preserve"> Фактические затраты в размере 3 379,0  тыс. тенге и превышают плановые затраты на 822,0 тыс. тенге  или на 32 % в связи с увеличением стоимости 1 тонны угля.</t>
  </si>
  <si>
    <t>При плане ФОТ 1 616 958,0 тыс. тенге фактические затраты составили 1 848 097,2 тыс. тенге. Отклонение 16%.</t>
  </si>
  <si>
    <t>При плане 65 877,0 тыс. тенге, фактические затраты по данной статье составили 72 825,0 тыс. тенге, что на 11% больше утвержденного.Затраты по данной статье повысились из-за того, что в связи с производственной необходимостью увеличились объемы выездов работников, имеющих разъездной характер, в зависимости от необходимости проведения ремонтных работ, обследования и осмотра гидротехнических сооружений и др. необходимых мероприятий.</t>
  </si>
  <si>
    <t>Работы по безопасности и охране труда проводились в соответствии с ежегодно разрабатываемым в филиале Планом организационно-технических мероприятий по безопасности и охране труда, профилактике производственного травматизма и профессиональных заболеваний работников. В том числе проводилась значительная работа по исполнению Трудового кодекса Республики Казахстан.  В данную статью вошли затраты на списание спецодежды, молока, мыла, натурального сока, спецпитание водолазам и медицинский осмотр работников. При плане 35 512,0 тыс. тенге, фактические затраты по данной статье составили 53 817,0 тыс. тенге. Отклонение в сторону увеличения –18 305,0 тыс.тенге. Были списаны  спецодежда и ТМЗ прошлых лет.</t>
  </si>
  <si>
    <t>В свзи с необходимостью проведения текущего ремонта на НС №1 в пос. Беловка, на НС№2 в пос. Калкаман были увеличены выезды специалистов ремонтно-механической мастерской, отдела связи телеметрии, электротехнической лаборатории,  участка ремонтно-энергетического оборудования. Фактические  затраты по  производственному персоналу составили 23 279,0 тыс. тенге, при плане  15 000,0  тыс. тенге, что на 8 279,0,0 тыс. тенге выше от утвержденного. Были проведены текущие ремонты гидротехнических сооружений, элетротехнического оборудования, кабельных линии связи  и др.</t>
  </si>
  <si>
    <t>При плане 119 990,3 тыс. тенге, фактические затраты по данной статье составили160 390,0 тыс. тенге. Отклонение в сторону увеличения –40 399,7 тыс.тенге или 34 %. В связи с производственной необходимостью в данную статью вошли затраты на мониторинг и оценку воздействия проводимых компенсационных попусков, обслуживание пожарной сигнализации, обучение и аттестацию производственного персонала, техническое обследование объектов недвижимости, на услуги по устройству пожарной сигнализации, услуги по оценке имущества, обслуживание и ремонт механизмов, тракторов и спецтехники,  обязательные профессиональные пенсионные взносы за счет работодателя,услуги по проведению энергоаудита  и др. Также согласно Коллективному договору, работникам при уходе в очередной трудовой отпуск была выплачена материальная помощь, которые не предусмотрены в утвержденной тарифной смете .</t>
  </si>
  <si>
    <t xml:space="preserve">В данную статью вошли затраты по списанию материалов, ГСМ на административные машины, комплектующие к оргтехнике, запасные части на административные машины, хозяйственные товары и т.д.  В результате фактическая сумма затрат по данной статье составила 11 653,0 тыс. тенге при плане 9354,0 тыс.тенге. отклонение от утвержденного 25%. </t>
  </si>
  <si>
    <t>При плане 6688,0 тыс. тенге, фактические затраты по данной статье составили 6 692,2 тыс. тенге. Экономия 4,2 тыс. тенге..</t>
  </si>
  <si>
    <t>При плане 6 500,0 тыс. тенге, фактические затраты по данной статье составили 8 419,0 тыс. тенге, отклонение  составило –1 919,0 тыс. тенге. Увеличение произошло в связи с проведением претензионно-исковой работы с дебиторами и недобросовестными поставщиками услуг и связанных с ними судебными слушаниями в гг. Караганды, Павлодар, формированием  и сдачей годовых отчетов, исполнения тарифных смет по регулируемым услугам,, также в территориальных управлениях экплуатации были проведены инвентаризация основных средств.</t>
  </si>
  <si>
    <t xml:space="preserve">При плане 7 558,0 тыс. тенге, фактические затраты по данной статье составили7 224,0 тыс. тенге. Исполнение - 100%. Экономия -334,0 тыс. тенге. </t>
  </si>
  <si>
    <t>При плане 3000,0 тыс. тенге, фактические затраты по данной статье составили 4 364,0 тыс. тенге, отклонение -1 364,2 тыс. тенге или 45%. Превышение связано с увеличением потребности в папках-регистрах, бумаги А4 в связи с проводимой работой по утверждению тарифов.</t>
  </si>
  <si>
    <t>При плане 658,0 тыс. тенге, фактические затраты по данной статье составили 509,1 тыс. тенге, исполнение -100%, экономия 148,9 тыс.тенге, в связи с оптимизацией расходов по данной статье.</t>
  </si>
  <si>
    <t>При плане 821,0  тыс. тенге, фактические затраты по данной статье составили  1 389,4 тыс. тенге. Экономия составила в размере 568,4,0 тыс. тенге. По итогам государственных закупок победителем является поставщик предложивший наименьшую сумму.</t>
  </si>
  <si>
    <t>При плане 7 688,0 тыс. тенге, фактические затраты по данной статье составили 33 455тыс. тенге. Отклонение  в сторону увеличения – 25 767,0 тыс.тенге. В связи с производственной необходимостью, были  произведены следующие затраты: нотариальные услуги, почтовые расходы, объявления в газету, расходы на повышение квалификации административных работников,  закуп бланочной продукции, обязательные мероприятия по подготовке административных зданий к отопительному сезону, техническое обслуживание систем учета теплоснабжения, материальная помощь к ежегодному трудовому отпуску, согласно Коллективного договора и т.д.</t>
  </si>
  <si>
    <t>Прибыль сложилась в связи с тем, что затраты производились в соответствии с полученным доходом, т.е. корректировались в сторону уменьшения. Также на своевременное исполнение плановых затрат влияет процедура проведения закупа товаров, работ и услуг. По итогам проведения государственных закупок выявлялись недобросовестыне поставщики. Повторное объявление государственных закупок и их исполнение занимает определенное время. Данные факторы повлияли на неисполнение затрат и образование прибыли в размере 866 550,6 тыс. тенге.</t>
  </si>
  <si>
    <r>
      <t xml:space="preserve">В данную статью включены затраты на ремонты подрядным способом, которые выполняются из-за отсутствия возможности выполнения ремонтов собственными силами в связи с нехваткой необходимого оборудования, спецтехники и квалифицированного персонала. При плане 349 674,0 тыс. тенге, фактические затраты по данной статье составили 251 802,9,0 тыс. тенге. Подрядным способом были проведены ремонты ремонты пьезометров на плотинах, ремонт трансформатора на насосной станции №17,  ремонт статора электродвигателя и др. </t>
    </r>
    <r>
      <rPr>
        <sz val="13"/>
        <color indexed="10"/>
        <rFont val="Times New Roman"/>
        <family val="1"/>
      </rPr>
      <t xml:space="preserve"> </t>
    </r>
    <r>
      <rPr>
        <sz val="13"/>
        <rFont val="Times New Roman"/>
        <family val="1"/>
      </rPr>
      <t xml:space="preserve">Неисполнение –28% </t>
    </r>
    <r>
      <rPr>
        <sz val="13"/>
        <color indexed="10"/>
        <rFont val="Times New Roman"/>
        <family val="1"/>
      </rPr>
      <t xml:space="preserve"> </t>
    </r>
    <r>
      <rPr>
        <sz val="13"/>
        <rFont val="Times New Roman"/>
        <family val="1"/>
      </rPr>
      <t>связано с тем, что по запланированным работам поставщик не объявился.</t>
    </r>
  </si>
  <si>
    <t xml:space="preserve">При плане 20 167,0 тыс. тенге, фактические затраты по данной статье составили 21303,8,0 тыс. тенге, увеличение произошло на 6% или 1 136,8,0 тыс.тенге, от утвержденного в связи с повышением размера страховых премий. </t>
  </si>
  <si>
    <t>7.5.</t>
  </si>
  <si>
    <t>7.6.</t>
  </si>
  <si>
    <t>7.7.</t>
  </si>
  <si>
    <t>7.8.</t>
  </si>
  <si>
    <t>7.9.</t>
  </si>
  <si>
    <t>7.10.</t>
  </si>
  <si>
    <t>7.11.</t>
  </si>
  <si>
    <t>7.12.</t>
  </si>
  <si>
    <t>7.13.</t>
  </si>
  <si>
    <t xml:space="preserve">прочие </t>
  </si>
  <si>
    <t>Исполнение тарифной сметы по подаче воды по каналу за 1 полугодие 2018 года  (оперативно)</t>
  </si>
  <si>
    <t>Фактически сложившиеся показатели тарифной сметы</t>
  </si>
  <si>
    <t>Предусмотрено в утвержденной тарифной смете на 2018 год</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</si>
</sst>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0"/>
    <numFmt numFmtId="186" formatCode="0.0"/>
    <numFmt numFmtId="187" formatCode="_(* #,##0.0_);_(* \(#,##0.0\);_(* &quot;-&quot;??_);_(@_)"/>
    <numFmt numFmtId="188" formatCode="_(* #,##0_);_(* \(#,##0\);_(* &quot;-&quot;??_);_(@_)"/>
    <numFmt numFmtId="189" formatCode="_(* #,##0.000_);_(* \(#,##0.000\);_(* &quot;-&quot;??_);_(@_)"/>
    <numFmt numFmtId="190" formatCode="0.000000"/>
    <numFmt numFmtId="191" formatCode="0.00000"/>
    <numFmt numFmtId="192" formatCode="0.0000"/>
    <numFmt numFmtId="193" formatCode="0.000"/>
    <numFmt numFmtId="194" formatCode="0.00000000"/>
    <numFmt numFmtId="195" formatCode="0.0000000"/>
    <numFmt numFmtId="196" formatCode="#,##0.0000"/>
  </numFmts>
  <fonts count="47">
    <font>
      <sz val="10"/>
      <name val="Arial"/>
      <family val="0"/>
    </font>
    <font>
      <b/>
      <sz val="12"/>
      <name val="Times New Roman"/>
      <family val="1"/>
    </font>
    <font>
      <sz val="12"/>
      <name val="Times New Roman"/>
      <family val="1"/>
    </font>
    <font>
      <b/>
      <sz val="14"/>
      <name val="Times New Roman"/>
      <family val="1"/>
    </font>
    <font>
      <sz val="8"/>
      <name val="Arial"/>
      <family val="2"/>
    </font>
    <font>
      <b/>
      <i/>
      <sz val="14"/>
      <name val="Times New Roman"/>
      <family val="1"/>
    </font>
    <font>
      <sz val="14"/>
      <name val="Times New Roman"/>
      <family val="1"/>
    </font>
    <font>
      <i/>
      <sz val="14"/>
      <name val="Times New Roman"/>
      <family val="1"/>
    </font>
    <font>
      <b/>
      <sz val="16"/>
      <name val="Times New Roman"/>
      <family val="1"/>
    </font>
    <font>
      <b/>
      <sz val="20"/>
      <name val="Times New Roman"/>
      <family val="1"/>
    </font>
    <font>
      <sz val="20"/>
      <name val="Times New Roman"/>
      <family val="1"/>
    </font>
    <font>
      <sz val="13"/>
      <name val="Times New Roman"/>
      <family val="1"/>
    </font>
    <font>
      <sz val="13"/>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style="thin"/>
      <right style="medium"/>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32" borderId="0" applyNumberFormat="0" applyBorder="0" applyAlignment="0" applyProtection="0"/>
  </cellStyleXfs>
  <cellXfs count="84">
    <xf numFmtId="0" fontId="0" fillId="0" borderId="0" xfId="0" applyAlignment="1">
      <alignment/>
    </xf>
    <xf numFmtId="49" fontId="2" fillId="0" borderId="0" xfId="0" applyNumberFormat="1" applyFont="1" applyFill="1" applyAlignment="1">
      <alignment horizontal="center" vertical="center" wrapText="1"/>
    </xf>
    <xf numFmtId="0" fontId="2" fillId="0" borderId="0" xfId="0" applyFont="1" applyBorder="1" applyAlignment="1">
      <alignment/>
    </xf>
    <xf numFmtId="0" fontId="2" fillId="0" borderId="0" xfId="0" applyFont="1" applyFill="1" applyBorder="1" applyAlignment="1">
      <alignment/>
    </xf>
    <xf numFmtId="0" fontId="1" fillId="33" borderId="0" xfId="0" applyFont="1" applyFill="1" applyBorder="1" applyAlignment="1">
      <alignment/>
    </xf>
    <xf numFmtId="0" fontId="1" fillId="0" borderId="0" xfId="0" applyFont="1" applyFill="1" applyBorder="1" applyAlignment="1">
      <alignment/>
    </xf>
    <xf numFmtId="4" fontId="1"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 fontId="2" fillId="0" borderId="0" xfId="0" applyNumberFormat="1" applyFont="1" applyFill="1" applyAlignment="1">
      <alignment horizontal="center" vertical="center" wrapText="1"/>
    </xf>
    <xf numFmtId="4" fontId="1" fillId="33" borderId="10" xfId="0" applyNumberFormat="1" applyFont="1" applyFill="1" applyBorder="1" applyAlignment="1">
      <alignment horizontal="center" vertical="center"/>
    </xf>
    <xf numFmtId="4" fontId="2" fillId="33" borderId="10" xfId="0" applyNumberFormat="1" applyFont="1" applyFill="1" applyBorder="1" applyAlignment="1">
      <alignment horizontal="center" vertical="center"/>
    </xf>
    <xf numFmtId="184" fontId="1" fillId="33" borderId="10" xfId="0" applyNumberFormat="1" applyFont="1" applyFill="1" applyBorder="1" applyAlignment="1">
      <alignment horizontal="center" vertical="center"/>
    </xf>
    <xf numFmtId="49" fontId="3" fillId="0" borderId="10" xfId="0" applyNumberFormat="1" applyFont="1" applyFill="1" applyBorder="1" applyAlignment="1">
      <alignment vertical="center" wrapText="1"/>
    </xf>
    <xf numFmtId="49" fontId="5" fillId="0" borderId="10" xfId="0" applyNumberFormat="1" applyFont="1" applyFill="1" applyBorder="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xf>
    <xf numFmtId="3" fontId="3"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4" fontId="1" fillId="34"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49" fontId="3" fillId="35" borderId="10" xfId="0" applyNumberFormat="1" applyFont="1" applyFill="1" applyBorder="1" applyAlignment="1">
      <alignment horizontal="center" vertical="center" wrapText="1"/>
    </xf>
    <xf numFmtId="0" fontId="3" fillId="34" borderId="10" xfId="0" applyFont="1" applyFill="1" applyBorder="1" applyAlignment="1">
      <alignment horizontal="left" vertical="center" wrapText="1"/>
    </xf>
    <xf numFmtId="0" fontId="3" fillId="34" borderId="10" xfId="0" applyFont="1" applyFill="1" applyBorder="1" applyAlignment="1">
      <alignment horizontal="center" vertical="center" wrapText="1"/>
    </xf>
    <xf numFmtId="4" fontId="3" fillId="34" borderId="10" xfId="0" applyNumberFormat="1" applyFont="1" applyFill="1" applyBorder="1" applyAlignment="1">
      <alignment horizontal="center" vertical="center"/>
    </xf>
    <xf numFmtId="0" fontId="3" fillId="0" borderId="10" xfId="0" applyFont="1" applyFill="1" applyBorder="1" applyAlignment="1">
      <alignment horizontal="left" vertical="center" wrapText="1"/>
    </xf>
    <xf numFmtId="184" fontId="3" fillId="33"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4" fontId="6" fillId="36" borderId="10" xfId="0" applyNumberFormat="1" applyFont="1" applyFill="1" applyBorder="1" applyAlignment="1">
      <alignment horizontal="center" vertical="center"/>
    </xf>
    <xf numFmtId="4" fontId="3" fillId="33" borderId="10" xfId="0" applyNumberFormat="1" applyFont="1" applyFill="1" applyBorder="1" applyAlignment="1">
      <alignment horizontal="center" vertical="center"/>
    </xf>
    <xf numFmtId="4" fontId="3" fillId="36" borderId="10" xfId="0" applyNumberFormat="1" applyFont="1" applyFill="1" applyBorder="1" applyAlignment="1">
      <alignment horizontal="center" vertical="center"/>
    </xf>
    <xf numFmtId="49" fontId="7" fillId="0" borderId="10" xfId="0" applyNumberFormat="1" applyFont="1" applyFill="1" applyBorder="1" applyAlignment="1">
      <alignment horizontal="right" vertical="center" wrapText="1"/>
    </xf>
    <xf numFmtId="0" fontId="3" fillId="0" borderId="10" xfId="0" applyFont="1" applyFill="1" applyBorder="1" applyAlignment="1">
      <alignment vertical="center" wrapText="1"/>
    </xf>
    <xf numFmtId="3" fontId="6" fillId="0" borderId="10" xfId="0" applyNumberFormat="1" applyFont="1" applyFill="1" applyBorder="1" applyAlignment="1">
      <alignment horizontal="center" vertical="center" wrapText="1"/>
    </xf>
    <xf numFmtId="0" fontId="6" fillId="36" borderId="10" xfId="0" applyFont="1" applyFill="1" applyBorder="1" applyAlignment="1">
      <alignment horizontal="left" vertical="center" wrapText="1"/>
    </xf>
    <xf numFmtId="49" fontId="6" fillId="36" borderId="10" xfId="0" applyNumberFormat="1" applyFont="1" applyFill="1" applyBorder="1" applyAlignment="1">
      <alignment horizontal="center" vertical="center" wrapText="1"/>
    </xf>
    <xf numFmtId="49" fontId="3" fillId="36" borderId="10" xfId="0" applyNumberFormat="1" applyFont="1" applyFill="1" applyBorder="1" applyAlignment="1">
      <alignment horizontal="center" vertical="center" wrapText="1"/>
    </xf>
    <xf numFmtId="0" fontId="3" fillId="36" borderId="10" xfId="0" applyFont="1" applyFill="1" applyBorder="1" applyAlignment="1">
      <alignment horizontal="left" vertical="center" wrapText="1"/>
    </xf>
    <xf numFmtId="184" fontId="3" fillId="36" borderId="10" xfId="0" applyNumberFormat="1" applyFont="1" applyFill="1" applyBorder="1" applyAlignment="1">
      <alignment horizontal="center" vertical="center"/>
    </xf>
    <xf numFmtId="3" fontId="3" fillId="36" borderId="10" xfId="0" applyNumberFormat="1" applyFont="1" applyFill="1" applyBorder="1" applyAlignment="1">
      <alignment horizontal="center" vertical="center"/>
    </xf>
    <xf numFmtId="49" fontId="10" fillId="0" borderId="0" xfId="0" applyNumberFormat="1" applyFont="1" applyFill="1" applyAlignment="1">
      <alignment horizontal="center" vertical="center" wrapText="1"/>
    </xf>
    <xf numFmtId="0" fontId="10" fillId="0" borderId="0" xfId="0" applyFont="1" applyFill="1" applyAlignment="1">
      <alignment horizontal="center" vertical="center" wrapText="1"/>
    </xf>
    <xf numFmtId="4" fontId="10" fillId="0" borderId="0" xfId="0" applyNumberFormat="1" applyFont="1" applyFill="1" applyAlignment="1">
      <alignment horizontal="center" vertical="center" wrapText="1"/>
    </xf>
    <xf numFmtId="179" fontId="2" fillId="0" borderId="0" xfId="58" applyFont="1" applyFill="1" applyBorder="1" applyAlignment="1">
      <alignment/>
    </xf>
    <xf numFmtId="179" fontId="1" fillId="33" borderId="0" xfId="58" applyFont="1" applyFill="1" applyBorder="1" applyAlignment="1">
      <alignment/>
    </xf>
    <xf numFmtId="43" fontId="2" fillId="0" borderId="0" xfId="0" applyNumberFormat="1" applyFont="1" applyFill="1" applyBorder="1" applyAlignment="1">
      <alignment/>
    </xf>
    <xf numFmtId="3" fontId="6" fillId="36" borderId="10" xfId="0" applyNumberFormat="1"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11" xfId="0" applyFont="1" applyFill="1" applyBorder="1" applyAlignment="1">
      <alignment horizontal="center" vertical="center" wrapText="1"/>
    </xf>
    <xf numFmtId="4" fontId="1" fillId="0" borderId="10" xfId="0" applyNumberFormat="1" applyFont="1" applyFill="1" applyBorder="1" applyAlignment="1">
      <alignment vertical="center" wrapText="1"/>
    </xf>
    <xf numFmtId="0" fontId="6" fillId="36" borderId="10" xfId="0" applyFont="1" applyFill="1" applyBorder="1" applyAlignment="1">
      <alignment vertical="center" wrapText="1"/>
    </xf>
    <xf numFmtId="0" fontId="6" fillId="0" borderId="0" xfId="0" applyFont="1" applyBorder="1" applyAlignment="1">
      <alignment/>
    </xf>
    <xf numFmtId="0" fontId="6" fillId="0" borderId="10" xfId="0" applyFont="1" applyFill="1" applyBorder="1" applyAlignment="1">
      <alignment/>
    </xf>
    <xf numFmtId="0" fontId="6" fillId="0" borderId="0" xfId="0" applyFont="1" applyFill="1" applyBorder="1" applyAlignment="1">
      <alignment/>
    </xf>
    <xf numFmtId="0" fontId="11" fillId="36" borderId="10" xfId="0" applyFont="1" applyFill="1" applyBorder="1" applyAlignment="1">
      <alignment horizontal="left" vertical="center" wrapText="1"/>
    </xf>
    <xf numFmtId="0" fontId="11" fillId="0" borderId="12" xfId="0" applyFont="1" applyBorder="1" applyAlignment="1">
      <alignment horizontal="left" vertical="center" wrapText="1"/>
    </xf>
    <xf numFmtId="0" fontId="11" fillId="0" borderId="12" xfId="0" applyFont="1" applyFill="1" applyBorder="1" applyAlignment="1">
      <alignment horizontal="left" vertical="center" wrapText="1"/>
    </xf>
    <xf numFmtId="0" fontId="11" fillId="33" borderId="12" xfId="0" applyFont="1" applyFill="1" applyBorder="1" applyAlignment="1">
      <alignment horizontal="left" vertical="center" wrapText="1"/>
    </xf>
    <xf numFmtId="0" fontId="11" fillId="36" borderId="12" xfId="0" applyFont="1" applyFill="1" applyBorder="1" applyAlignment="1">
      <alignment horizontal="left" vertical="center" wrapText="1"/>
    </xf>
    <xf numFmtId="4" fontId="11" fillId="33" borderId="12" xfId="0" applyNumberFormat="1" applyFont="1" applyFill="1" applyBorder="1" applyAlignment="1">
      <alignment horizontal="left" vertical="center" wrapText="1"/>
    </xf>
    <xf numFmtId="4" fontId="1" fillId="0" borderId="13" xfId="0" applyNumberFormat="1" applyFont="1" applyFill="1" applyBorder="1" applyAlignment="1">
      <alignment horizontal="center" vertical="center" wrapText="1"/>
    </xf>
    <xf numFmtId="0" fontId="6" fillId="0" borderId="0" xfId="0" applyFont="1" applyBorder="1" applyAlignment="1">
      <alignment horizontal="right"/>
    </xf>
    <xf numFmtId="0" fontId="6" fillId="0" borderId="12" xfId="0" applyFont="1" applyBorder="1" applyAlignment="1">
      <alignment horizontal="left" vertical="center" wrapText="1"/>
    </xf>
    <xf numFmtId="3" fontId="3" fillId="34"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3" fontId="3" fillId="0" borderId="10" xfId="0" applyNumberFormat="1" applyFont="1" applyFill="1" applyBorder="1" applyAlignment="1">
      <alignment horizontal="center" vertical="center"/>
    </xf>
    <xf numFmtId="49" fontId="3" fillId="34" borderId="10" xfId="0" applyNumberFormat="1" applyFont="1" applyFill="1" applyBorder="1" applyAlignment="1">
      <alignment horizontal="center" vertical="center" wrapText="1"/>
    </xf>
    <xf numFmtId="49" fontId="9" fillId="0" borderId="0" xfId="0" applyNumberFormat="1" applyFont="1" applyFill="1" applyAlignment="1">
      <alignment horizontal="center" vertical="center" wrapText="1"/>
    </xf>
    <xf numFmtId="4" fontId="3" fillId="0" borderId="10" xfId="0" applyNumberFormat="1" applyFont="1" applyFill="1" applyBorder="1" applyAlignment="1">
      <alignment horizontal="center" vertical="center" wrapText="1"/>
    </xf>
    <xf numFmtId="4" fontId="3" fillId="0" borderId="14" xfId="0" applyNumberFormat="1" applyFont="1" applyFill="1" applyBorder="1" applyAlignment="1">
      <alignment horizontal="center" vertical="center" wrapText="1"/>
    </xf>
    <xf numFmtId="4" fontId="3" fillId="0" borderId="15" xfId="0" applyNumberFormat="1" applyFont="1" applyFill="1" applyBorder="1" applyAlignment="1">
      <alignment horizontal="center" vertical="center" wrapText="1"/>
    </xf>
    <xf numFmtId="4" fontId="3" fillId="0" borderId="16" xfId="0" applyNumberFormat="1" applyFont="1" applyFill="1" applyBorder="1" applyAlignment="1">
      <alignment horizontal="center" vertical="center" wrapText="1"/>
    </xf>
    <xf numFmtId="49" fontId="8" fillId="0" borderId="0" xfId="0" applyNumberFormat="1" applyFont="1" applyFill="1" applyAlignment="1">
      <alignment horizontal="center" vertical="center" wrapText="1"/>
    </xf>
    <xf numFmtId="0" fontId="3" fillId="0" borderId="10" xfId="0" applyFont="1" applyBorder="1" applyAlignment="1">
      <alignment horizontal="center" vertical="center" wrapText="1"/>
    </xf>
    <xf numFmtId="49" fontId="3" fillId="0" borderId="0" xfId="0" applyNumberFormat="1" applyFont="1" applyFill="1" applyAlignment="1">
      <alignment horizontal="center" vertical="center" wrapText="1"/>
    </xf>
    <xf numFmtId="49" fontId="6" fillId="0" borderId="0" xfId="0" applyNumberFormat="1" applyFont="1" applyFill="1" applyAlignment="1">
      <alignment horizontal="left"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8" fillId="0" borderId="0" xfId="0" applyFont="1" applyFill="1" applyBorder="1" applyAlignment="1">
      <alignment horizontal="center" vertical="center" wrapText="1"/>
    </xf>
    <xf numFmtId="4" fontId="1" fillId="0" borderId="14" xfId="0" applyNumberFormat="1" applyFont="1" applyFill="1" applyBorder="1" applyAlignment="1">
      <alignment horizontal="center" vertical="center" wrapText="1"/>
    </xf>
    <xf numFmtId="4" fontId="1" fillId="0" borderId="15" xfId="0" applyNumberFormat="1" applyFont="1" applyFill="1" applyBorder="1" applyAlignment="1">
      <alignment horizontal="center" vertical="center" wrapText="1"/>
    </xf>
    <xf numFmtId="4" fontId="1" fillId="0" borderId="16"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60"/>
  <sheetViews>
    <sheetView tabSelected="1" view="pageBreakPreview" zoomScale="69" zoomScaleNormal="80" zoomScaleSheetLayoutView="69" zoomScalePageLayoutView="0" workbookViewId="0" topLeftCell="A1">
      <pane xSplit="2" ySplit="8" topLeftCell="C18" activePane="bottomRight" state="frozen"/>
      <selection pane="topLeft" activeCell="A1" sqref="A1"/>
      <selection pane="topRight" activeCell="C1" sqref="C1"/>
      <selection pane="bottomLeft" activeCell="A8" sqref="A8"/>
      <selection pane="bottomRight" activeCell="E40" sqref="E40"/>
    </sheetView>
  </sheetViews>
  <sheetFormatPr defaultColWidth="9.140625" defaultRowHeight="12.75"/>
  <cols>
    <col min="1" max="1" width="8.140625" style="1" customWidth="1"/>
    <col min="2" max="2" width="89.28125" style="7" customWidth="1"/>
    <col min="3" max="3" width="24.421875" style="7" customWidth="1"/>
    <col min="4" max="4" width="30.7109375" style="8" customWidth="1"/>
    <col min="5" max="5" width="25.8515625" style="8" customWidth="1"/>
    <col min="6" max="6" width="0.13671875" style="8" customWidth="1"/>
    <col min="7" max="7" width="23.7109375" style="8" customWidth="1"/>
    <col min="8" max="8" width="0.2890625" style="2" hidden="1" customWidth="1"/>
    <col min="9" max="9" width="22.421875" style="2" hidden="1" customWidth="1"/>
    <col min="10" max="10" width="153.8515625" style="51" hidden="1" customWidth="1"/>
    <col min="11" max="11" width="16.7109375" style="2" bestFit="1" customWidth="1"/>
    <col min="12" max="16384" width="9.140625" style="2" customWidth="1"/>
  </cols>
  <sheetData>
    <row r="1" ht="18.75">
      <c r="J1" s="61" t="s">
        <v>107</v>
      </c>
    </row>
    <row r="2" spans="1:4" ht="18.75" customHeight="1">
      <c r="A2" s="75" t="s">
        <v>102</v>
      </c>
      <c r="B2" s="75"/>
      <c r="C2" s="75"/>
      <c r="D2" s="75"/>
    </row>
    <row r="4" spans="1:10" ht="60" customHeight="1">
      <c r="A4" s="80" t="s">
        <v>154</v>
      </c>
      <c r="B4" s="80"/>
      <c r="C4" s="80"/>
      <c r="D4" s="80"/>
      <c r="E4" s="80"/>
      <c r="F4" s="80"/>
      <c r="G4" s="80"/>
      <c r="H4" s="80"/>
      <c r="I4" s="80"/>
      <c r="J4" s="80"/>
    </row>
    <row r="5" spans="1:9" ht="16.5" customHeight="1">
      <c r="A5" s="48"/>
      <c r="B5" s="47"/>
      <c r="C5" s="47"/>
      <c r="D5" s="47"/>
      <c r="E5" s="47"/>
      <c r="F5" s="47"/>
      <c r="G5" s="47"/>
      <c r="H5" s="47"/>
      <c r="I5" s="47"/>
    </row>
    <row r="6" spans="1:10" ht="24.75" customHeight="1">
      <c r="A6" s="78" t="s">
        <v>0</v>
      </c>
      <c r="B6" s="79" t="s">
        <v>2</v>
      </c>
      <c r="C6" s="79" t="s">
        <v>3</v>
      </c>
      <c r="D6" s="68" t="s">
        <v>156</v>
      </c>
      <c r="E6" s="68" t="s">
        <v>155</v>
      </c>
      <c r="F6" s="68" t="s">
        <v>104</v>
      </c>
      <c r="G6" s="69" t="s">
        <v>103</v>
      </c>
      <c r="H6" s="49"/>
      <c r="I6" s="81"/>
      <c r="J6" s="73" t="s">
        <v>106</v>
      </c>
    </row>
    <row r="7" spans="1:11" s="3" customFormat="1" ht="21" customHeight="1">
      <c r="A7" s="78"/>
      <c r="B7" s="79"/>
      <c r="C7" s="79"/>
      <c r="D7" s="68"/>
      <c r="E7" s="68"/>
      <c r="F7" s="68"/>
      <c r="G7" s="70"/>
      <c r="H7" s="60"/>
      <c r="I7" s="82"/>
      <c r="J7" s="73"/>
      <c r="K7" s="43"/>
    </row>
    <row r="8" spans="1:10" s="3" customFormat="1" ht="64.5" customHeight="1">
      <c r="A8" s="78"/>
      <c r="B8" s="79"/>
      <c r="C8" s="79"/>
      <c r="D8" s="68"/>
      <c r="E8" s="68"/>
      <c r="F8" s="68"/>
      <c r="G8" s="71"/>
      <c r="H8" s="6" t="s">
        <v>83</v>
      </c>
      <c r="I8" s="83"/>
      <c r="J8" s="73"/>
    </row>
    <row r="9" spans="1:11" s="4" customFormat="1" ht="76.5" customHeight="1">
      <c r="A9" s="20" t="s">
        <v>4</v>
      </c>
      <c r="B9" s="21" t="s">
        <v>5</v>
      </c>
      <c r="C9" s="22" t="s">
        <v>6</v>
      </c>
      <c r="D9" s="23">
        <f>D10+D15+D18+D19+D21+D26+D32</f>
        <v>9850547</v>
      </c>
      <c r="E9" s="23">
        <f>E10+E15+E18+E19+E21+E26+E32</f>
        <v>2723635.4630000005</v>
      </c>
      <c r="F9" s="23">
        <f>F10+F15+F18+F19+F21+F26+F32</f>
        <v>-7126911.5370000005</v>
      </c>
      <c r="G9" s="63">
        <f>E9/D9*100-100</f>
        <v>-72.35041401254163</v>
      </c>
      <c r="H9" s="18">
        <f>H10+H15+H18+H19+H21+H26+H32</f>
        <v>10116</v>
      </c>
      <c r="I9" s="18">
        <f aca="true" t="shared" si="0" ref="I9:I14">D9-E9</f>
        <v>7126911.537</v>
      </c>
      <c r="J9" s="54"/>
      <c r="K9" s="44"/>
    </row>
    <row r="10" spans="1:11" s="3" customFormat="1" ht="54" customHeight="1">
      <c r="A10" s="19">
        <v>1</v>
      </c>
      <c r="B10" s="24" t="s">
        <v>11</v>
      </c>
      <c r="C10" s="19" t="s">
        <v>28</v>
      </c>
      <c r="D10" s="39">
        <f>D11+D12+D13+D14</f>
        <v>6603262</v>
      </c>
      <c r="E10" s="39">
        <f>E11+E12+E13+E14</f>
        <v>1475358.031</v>
      </c>
      <c r="F10" s="25">
        <f>F11+F12+F13+F14</f>
        <v>-5127903.969</v>
      </c>
      <c r="G10" s="65">
        <f>E10/D10*100-100</f>
        <v>-77.65713323202986</v>
      </c>
      <c r="H10" s="11">
        <f>H11+H12+H13+H14</f>
        <v>123</v>
      </c>
      <c r="I10" s="18">
        <f t="shared" si="0"/>
        <v>5127903.9690000005</v>
      </c>
      <c r="J10" s="52"/>
      <c r="K10" s="45"/>
    </row>
    <row r="11" spans="1:10" s="3" customFormat="1" ht="35.25" customHeight="1">
      <c r="A11" s="26" t="s">
        <v>7</v>
      </c>
      <c r="B11" s="34" t="s">
        <v>58</v>
      </c>
      <c r="C11" s="35" t="s">
        <v>28</v>
      </c>
      <c r="D11" s="46">
        <v>494682</v>
      </c>
      <c r="E11" s="64">
        <f>6.9+449.7+10.8+17.8+790.6+945.3+9851.9+0.731+197.7+7208.7+21603.8+125.7+2464.8+149.3+30216.2+167.8</f>
        <v>74207.731</v>
      </c>
      <c r="F11" s="28">
        <f>E11-D11</f>
        <v>-420474.269</v>
      </c>
      <c r="G11" s="65">
        <f aca="true" t="shared" si="1" ref="G11:G60">E11/D11*100-100</f>
        <v>-84.99890212298001</v>
      </c>
      <c r="H11" s="10">
        <v>0</v>
      </c>
      <c r="I11" s="18">
        <f t="shared" si="0"/>
        <v>420474.269</v>
      </c>
      <c r="J11" s="55" t="s">
        <v>125</v>
      </c>
    </row>
    <row r="12" spans="1:10" s="3" customFormat="1" ht="36" customHeight="1">
      <c r="A12" s="35" t="s">
        <v>8</v>
      </c>
      <c r="B12" s="34" t="s">
        <v>1</v>
      </c>
      <c r="C12" s="35" t="s">
        <v>28</v>
      </c>
      <c r="D12" s="46">
        <v>121538</v>
      </c>
      <c r="E12" s="64">
        <f>30.4+829.5+146.3+14.8+41905.9+26550.6+2305.9+317.9</f>
        <v>72101.29999999999</v>
      </c>
      <c r="F12" s="28">
        <f>E12-D12</f>
        <v>-49436.70000000001</v>
      </c>
      <c r="G12" s="65">
        <f t="shared" si="1"/>
        <v>-40.6759202883049</v>
      </c>
      <c r="H12" s="10">
        <v>0</v>
      </c>
      <c r="I12" s="18">
        <f t="shared" si="0"/>
        <v>49436.70000000001</v>
      </c>
      <c r="J12" s="55" t="s">
        <v>126</v>
      </c>
    </row>
    <row r="13" spans="1:10" s="3" customFormat="1" ht="27.75" customHeight="1">
      <c r="A13" s="26" t="s">
        <v>91</v>
      </c>
      <c r="B13" s="34" t="s">
        <v>82</v>
      </c>
      <c r="C13" s="35" t="s">
        <v>28</v>
      </c>
      <c r="D13" s="46">
        <v>2685</v>
      </c>
      <c r="E13" s="64">
        <f>1000.7+1446.3</f>
        <v>2447</v>
      </c>
      <c r="F13" s="28">
        <f>E13-D13</f>
        <v>-238</v>
      </c>
      <c r="G13" s="65">
        <f t="shared" si="1"/>
        <v>-8.864059590316572</v>
      </c>
      <c r="H13" s="10">
        <v>0</v>
      </c>
      <c r="I13" s="18">
        <f t="shared" si="0"/>
        <v>238</v>
      </c>
      <c r="J13" s="56" t="s">
        <v>127</v>
      </c>
    </row>
    <row r="14" spans="1:10" s="3" customFormat="1" ht="27" customHeight="1">
      <c r="A14" s="35" t="s">
        <v>92</v>
      </c>
      <c r="B14" s="34" t="s">
        <v>9</v>
      </c>
      <c r="C14" s="35" t="s">
        <v>28</v>
      </c>
      <c r="D14" s="46">
        <v>5984357</v>
      </c>
      <c r="E14" s="64">
        <f>385.9+1302527.5+1.3+23687.3</f>
        <v>1326602</v>
      </c>
      <c r="F14" s="28">
        <f>E14-D14</f>
        <v>-4657755</v>
      </c>
      <c r="G14" s="65">
        <f t="shared" si="1"/>
        <v>-77.83217144298042</v>
      </c>
      <c r="H14" s="10">
        <v>123</v>
      </c>
      <c r="I14" s="18">
        <f t="shared" si="0"/>
        <v>4657755</v>
      </c>
      <c r="J14" s="55" t="s">
        <v>108</v>
      </c>
    </row>
    <row r="15" spans="1:10" s="3" customFormat="1" ht="39" customHeight="1">
      <c r="A15" s="19" t="s">
        <v>10</v>
      </c>
      <c r="B15" s="37" t="s">
        <v>12</v>
      </c>
      <c r="C15" s="36" t="s">
        <v>28</v>
      </c>
      <c r="D15" s="39">
        <f>D16+D17</f>
        <v>1656396</v>
      </c>
      <c r="E15" s="65">
        <f>E16+E17</f>
        <v>757750.1</v>
      </c>
      <c r="F15" s="30">
        <f>F16+F17</f>
        <v>-898645.9</v>
      </c>
      <c r="G15" s="65">
        <f t="shared" si="1"/>
        <v>-54.25308319991113</v>
      </c>
      <c r="H15" s="9">
        <f>H16+H17</f>
        <v>9628</v>
      </c>
      <c r="I15" s="18">
        <f aca="true" t="shared" si="2" ref="I15:I58">D15-E15</f>
        <v>898645.9</v>
      </c>
      <c r="J15" s="27"/>
    </row>
    <row r="16" spans="1:10" s="3" customFormat="1" ht="41.25" customHeight="1">
      <c r="A16" s="35" t="s">
        <v>13</v>
      </c>
      <c r="B16" s="34" t="s">
        <v>62</v>
      </c>
      <c r="C16" s="35" t="s">
        <v>28</v>
      </c>
      <c r="D16" s="46">
        <v>1507185</v>
      </c>
      <c r="E16" s="64">
        <f>243891.6+449574.9</f>
        <v>693466.5</v>
      </c>
      <c r="F16" s="28">
        <f>E16-D16</f>
        <v>-813718.5</v>
      </c>
      <c r="G16" s="65">
        <f t="shared" si="1"/>
        <v>-53.9892912946984</v>
      </c>
      <c r="H16" s="10">
        <v>8761</v>
      </c>
      <c r="I16" s="18">
        <f t="shared" si="2"/>
        <v>813718.5</v>
      </c>
      <c r="J16" s="57" t="s">
        <v>128</v>
      </c>
    </row>
    <row r="17" spans="1:10" s="3" customFormat="1" ht="26.25" customHeight="1">
      <c r="A17" s="35" t="s">
        <v>14</v>
      </c>
      <c r="B17" s="34" t="s">
        <v>37</v>
      </c>
      <c r="C17" s="35" t="s">
        <v>28</v>
      </c>
      <c r="D17" s="46">
        <v>149211</v>
      </c>
      <c r="E17" s="64">
        <f>8390.2+14183.8+15169.4+26540.2</f>
        <v>64283.600000000006</v>
      </c>
      <c r="F17" s="28">
        <f>E17-D17</f>
        <v>-84927.4</v>
      </c>
      <c r="G17" s="65">
        <f t="shared" si="1"/>
        <v>-56.91765352420398</v>
      </c>
      <c r="H17" s="10">
        <v>867</v>
      </c>
      <c r="I17" s="18">
        <f t="shared" si="2"/>
        <v>84927.4</v>
      </c>
      <c r="J17" s="55" t="s">
        <v>109</v>
      </c>
    </row>
    <row r="18" spans="1:10" s="3" customFormat="1" ht="40.5" customHeight="1">
      <c r="A18" s="19" t="s">
        <v>15</v>
      </c>
      <c r="B18" s="37" t="s">
        <v>16</v>
      </c>
      <c r="C18" s="36" t="s">
        <v>28</v>
      </c>
      <c r="D18" s="39">
        <v>636912</v>
      </c>
      <c r="E18" s="65">
        <f>158913.5+67067.6</f>
        <v>225981.1</v>
      </c>
      <c r="F18" s="30">
        <f>E18-D18</f>
        <v>-410930.9</v>
      </c>
      <c r="G18" s="65">
        <f t="shared" si="1"/>
        <v>-64.51925854749165</v>
      </c>
      <c r="H18" s="9">
        <v>53</v>
      </c>
      <c r="I18" s="18">
        <f t="shared" si="2"/>
        <v>410930.9</v>
      </c>
      <c r="J18" s="57" t="s">
        <v>110</v>
      </c>
    </row>
    <row r="19" spans="1:10" s="3" customFormat="1" ht="42" customHeight="1">
      <c r="A19" s="19" t="s">
        <v>17</v>
      </c>
      <c r="B19" s="37" t="s">
        <v>18</v>
      </c>
      <c r="C19" s="36" t="s">
        <v>28</v>
      </c>
      <c r="D19" s="39">
        <f>D20</f>
        <v>348438</v>
      </c>
      <c r="E19" s="65">
        <f>E20</f>
        <v>15240.5</v>
      </c>
      <c r="F19" s="30">
        <f>F20</f>
        <v>-333197.5</v>
      </c>
      <c r="G19" s="65">
        <f t="shared" si="1"/>
        <v>-95.6260511195679</v>
      </c>
      <c r="H19" s="9">
        <f>H20</f>
        <v>0</v>
      </c>
      <c r="I19" s="18">
        <f t="shared" si="2"/>
        <v>333197.5</v>
      </c>
      <c r="J19" s="27"/>
    </row>
    <row r="20" spans="1:10" s="3" customFormat="1" ht="39" customHeight="1">
      <c r="A20" s="26" t="s">
        <v>19</v>
      </c>
      <c r="B20" s="34" t="s">
        <v>20</v>
      </c>
      <c r="C20" s="35" t="s">
        <v>28</v>
      </c>
      <c r="D20" s="46">
        <v>348438</v>
      </c>
      <c r="E20" s="64">
        <f>12664.6+2575.9</f>
        <v>15240.5</v>
      </c>
      <c r="F20" s="28">
        <f>E20-D20</f>
        <v>-333197.5</v>
      </c>
      <c r="G20" s="65">
        <f t="shared" si="1"/>
        <v>-95.6260511195679</v>
      </c>
      <c r="H20" s="10">
        <v>0</v>
      </c>
      <c r="I20" s="18">
        <f t="shared" si="2"/>
        <v>333197.5</v>
      </c>
      <c r="J20" s="55" t="s">
        <v>142</v>
      </c>
    </row>
    <row r="21" spans="1:10" s="3" customFormat="1" ht="39" customHeight="1">
      <c r="A21" s="19" t="s">
        <v>21</v>
      </c>
      <c r="B21" s="37" t="s">
        <v>22</v>
      </c>
      <c r="C21" s="36" t="s">
        <v>28</v>
      </c>
      <c r="D21" s="39">
        <f>SUM(D22:D25)</f>
        <v>112138</v>
      </c>
      <c r="E21" s="65">
        <f>SUM(E22:E25)</f>
        <v>42409.6</v>
      </c>
      <c r="F21" s="30">
        <f>SUM(F22:F25)</f>
        <v>-69728.4</v>
      </c>
      <c r="G21" s="65">
        <f t="shared" si="1"/>
        <v>-62.18088426759885</v>
      </c>
      <c r="H21" s="9">
        <f>SUM(H22:H25)</f>
        <v>268</v>
      </c>
      <c r="I21" s="18">
        <f t="shared" si="2"/>
        <v>69728.4</v>
      </c>
      <c r="J21" s="27"/>
    </row>
    <row r="22" spans="1:10" s="3" customFormat="1" ht="42.75" customHeight="1">
      <c r="A22" s="26" t="s">
        <v>23</v>
      </c>
      <c r="B22" s="34" t="s">
        <v>60</v>
      </c>
      <c r="C22" s="35" t="s">
        <v>28</v>
      </c>
      <c r="D22" s="46">
        <v>69171</v>
      </c>
      <c r="E22" s="64">
        <f>19570.4+10035.1+114.5</f>
        <v>29720</v>
      </c>
      <c r="F22" s="28">
        <f>E22-D22</f>
        <v>-39451</v>
      </c>
      <c r="G22" s="65">
        <f t="shared" si="1"/>
        <v>-57.03401714591375</v>
      </c>
      <c r="H22" s="10">
        <v>0</v>
      </c>
      <c r="I22" s="18">
        <f t="shared" si="2"/>
        <v>39451</v>
      </c>
      <c r="J22" s="57" t="s">
        <v>129</v>
      </c>
    </row>
    <row r="23" spans="1:10" s="3" customFormat="1" ht="43.5" customHeight="1">
      <c r="A23" s="26" t="s">
        <v>25</v>
      </c>
      <c r="B23" s="34" t="s">
        <v>59</v>
      </c>
      <c r="C23" s="35" t="s">
        <v>28</v>
      </c>
      <c r="D23" s="46">
        <v>4927</v>
      </c>
      <c r="E23" s="64">
        <f>28.6+245.6+66.1</f>
        <v>340.29999999999995</v>
      </c>
      <c r="F23" s="28">
        <f>E23-D23</f>
        <v>-4586.7</v>
      </c>
      <c r="G23" s="65">
        <f t="shared" si="1"/>
        <v>-93.09316013801502</v>
      </c>
      <c r="H23" s="10">
        <v>0</v>
      </c>
      <c r="I23" s="18">
        <f t="shared" si="2"/>
        <v>4586.7</v>
      </c>
      <c r="J23" s="55" t="s">
        <v>122</v>
      </c>
    </row>
    <row r="24" spans="1:10" s="3" customFormat="1" ht="34.5" customHeight="1">
      <c r="A24" s="26" t="s">
        <v>67</v>
      </c>
      <c r="B24" s="34" t="s">
        <v>61</v>
      </c>
      <c r="C24" s="35" t="s">
        <v>28</v>
      </c>
      <c r="D24" s="46">
        <v>752</v>
      </c>
      <c r="E24" s="64">
        <f>88.5+81.9+30.8</f>
        <v>201.20000000000002</v>
      </c>
      <c r="F24" s="28">
        <f>E24-D24</f>
        <v>-550.8</v>
      </c>
      <c r="G24" s="65">
        <f t="shared" si="1"/>
        <v>-73.24468085106383</v>
      </c>
      <c r="H24" s="10">
        <v>0</v>
      </c>
      <c r="I24" s="18">
        <f t="shared" si="2"/>
        <v>550.8</v>
      </c>
      <c r="J24" s="55" t="s">
        <v>123</v>
      </c>
    </row>
    <row r="25" spans="1:10" s="3" customFormat="1" ht="28.5" customHeight="1">
      <c r="A25" s="26" t="s">
        <v>26</v>
      </c>
      <c r="B25" s="34" t="s">
        <v>24</v>
      </c>
      <c r="C25" s="35" t="s">
        <v>28</v>
      </c>
      <c r="D25" s="46">
        <v>37288</v>
      </c>
      <c r="E25" s="64">
        <f>5.2+89.1+2661.4+844.7+11.9+728.5+9.4+185.4+1166.8+5872.7+401.7+21+127.8+22.5</f>
        <v>12148.1</v>
      </c>
      <c r="F25" s="28">
        <f>E25-D25</f>
        <v>-25139.9</v>
      </c>
      <c r="G25" s="65">
        <f t="shared" si="1"/>
        <v>-67.42088607594937</v>
      </c>
      <c r="H25" s="10">
        <v>268</v>
      </c>
      <c r="I25" s="18">
        <f t="shared" si="2"/>
        <v>25139.9</v>
      </c>
      <c r="J25" s="55" t="s">
        <v>130</v>
      </c>
    </row>
    <row r="26" spans="1:10" s="3" customFormat="1" ht="32.25" customHeight="1">
      <c r="A26" s="19" t="s">
        <v>31</v>
      </c>
      <c r="B26" s="37" t="s">
        <v>27</v>
      </c>
      <c r="C26" s="36" t="s">
        <v>28</v>
      </c>
      <c r="D26" s="39">
        <f>SUM(D27:D31)</f>
        <v>493401</v>
      </c>
      <c r="E26" s="65">
        <f>SUM(E27:E31)</f>
        <v>206896.13200000004</v>
      </c>
      <c r="F26" s="30">
        <f>SUM(F27:F31)</f>
        <v>-286504.86799999996</v>
      </c>
      <c r="G26" s="65">
        <f t="shared" si="1"/>
        <v>-58.067346438292574</v>
      </c>
      <c r="H26" s="9">
        <f>SUM(H27:H31)</f>
        <v>44</v>
      </c>
      <c r="I26" s="18">
        <f t="shared" si="2"/>
        <v>286504.86799999996</v>
      </c>
      <c r="J26" s="27"/>
    </row>
    <row r="27" spans="1:10" s="3" customFormat="1" ht="36" customHeight="1">
      <c r="A27" s="26" t="s">
        <v>33</v>
      </c>
      <c r="B27" s="34" t="s">
        <v>68</v>
      </c>
      <c r="C27" s="35" t="s">
        <v>28</v>
      </c>
      <c r="D27" s="46">
        <v>6461</v>
      </c>
      <c r="E27" s="64">
        <f>239.5+156.7+381.5+174+506.6+94.9</f>
        <v>1553.2000000000003</v>
      </c>
      <c r="F27" s="28">
        <f>E27-D27</f>
        <v>-4907.799999999999</v>
      </c>
      <c r="G27" s="65">
        <f t="shared" si="1"/>
        <v>-75.9603776505185</v>
      </c>
      <c r="H27" s="10">
        <v>0</v>
      </c>
      <c r="I27" s="18">
        <f t="shared" si="2"/>
        <v>4907.799999999999</v>
      </c>
      <c r="J27" s="55" t="s">
        <v>111</v>
      </c>
    </row>
    <row r="28" spans="1:10" s="3" customFormat="1" ht="36" customHeight="1">
      <c r="A28" s="26" t="s">
        <v>34</v>
      </c>
      <c r="B28" s="34" t="s">
        <v>42</v>
      </c>
      <c r="C28" s="35" t="s">
        <v>28</v>
      </c>
      <c r="D28" s="46">
        <v>146885</v>
      </c>
      <c r="E28" s="64">
        <f>19212.3+2509.9+4909.1+50.5+484.1+4.9+0.132+866.1+561.9+2638.2+92.5+1075.8+76.2+2294.3+264.9+147.3+378.9+42.6+809.5</f>
        <v>36419.13200000001</v>
      </c>
      <c r="F28" s="28">
        <f>E28-D28</f>
        <v>-110465.86799999999</v>
      </c>
      <c r="G28" s="65">
        <f t="shared" si="1"/>
        <v>-75.20568335772883</v>
      </c>
      <c r="H28" s="10">
        <v>0</v>
      </c>
      <c r="I28" s="18">
        <f t="shared" si="2"/>
        <v>110465.86799999999</v>
      </c>
      <c r="J28" s="58" t="s">
        <v>112</v>
      </c>
    </row>
    <row r="29" spans="1:10" s="3" customFormat="1" ht="37.5" customHeight="1">
      <c r="A29" s="35" t="s">
        <v>35</v>
      </c>
      <c r="B29" s="34" t="s">
        <v>40</v>
      </c>
      <c r="C29" s="35" t="s">
        <v>28</v>
      </c>
      <c r="D29" s="46">
        <v>12696</v>
      </c>
      <c r="E29" s="64">
        <f>1+48.1+163.5+104.8+793.6+4478.1</f>
        <v>5589.1</v>
      </c>
      <c r="F29" s="28">
        <f>E29-D29</f>
        <v>-7106.9</v>
      </c>
      <c r="G29" s="65">
        <f t="shared" si="1"/>
        <v>-55.977473219911786</v>
      </c>
      <c r="H29" s="10">
        <v>0</v>
      </c>
      <c r="I29" s="18">
        <f t="shared" si="2"/>
        <v>7106.9</v>
      </c>
      <c r="J29" s="59" t="s">
        <v>131</v>
      </c>
    </row>
    <row r="30" spans="1:10" s="3" customFormat="1" ht="41.25" customHeight="1">
      <c r="A30" s="35" t="s">
        <v>87</v>
      </c>
      <c r="B30" s="34" t="s">
        <v>153</v>
      </c>
      <c r="C30" s="35" t="s">
        <v>28</v>
      </c>
      <c r="D30" s="46">
        <v>92029</v>
      </c>
      <c r="E30" s="64">
        <f>13798.5+825.4+165.3+3737.7+94.8+235+1340.2+26.4+24796.4+3274+8+581.5+1523.6+6682.4+1755.9+69+860.9+1025.8+1891.1+217.1+124.8</f>
        <v>63033.8</v>
      </c>
      <c r="F30" s="28">
        <f>E30-D30</f>
        <v>-28995.199999999997</v>
      </c>
      <c r="G30" s="65">
        <f t="shared" si="1"/>
        <v>-31.50659031392277</v>
      </c>
      <c r="H30" s="10">
        <v>44</v>
      </c>
      <c r="I30" s="18">
        <f t="shared" si="2"/>
        <v>28995.199999999997</v>
      </c>
      <c r="J30" s="55" t="s">
        <v>132</v>
      </c>
    </row>
    <row r="31" spans="1:10" s="3" customFormat="1" ht="31.5" customHeight="1">
      <c r="A31" s="26" t="s">
        <v>88</v>
      </c>
      <c r="B31" s="34" t="s">
        <v>89</v>
      </c>
      <c r="C31" s="35" t="s">
        <v>28</v>
      </c>
      <c r="D31" s="46">
        <v>235330</v>
      </c>
      <c r="E31" s="46">
        <f>70253.6+30047.3</f>
        <v>100300.90000000001</v>
      </c>
      <c r="F31" s="28">
        <f>E31-D31</f>
        <v>-135029.09999999998</v>
      </c>
      <c r="G31" s="65">
        <f t="shared" si="1"/>
        <v>-57.37861726086771</v>
      </c>
      <c r="H31" s="10">
        <v>0</v>
      </c>
      <c r="I31" s="18">
        <f t="shared" si="2"/>
        <v>135029.09999999998</v>
      </c>
      <c r="J31" s="27" t="s">
        <v>113</v>
      </c>
    </row>
    <row r="32" spans="1:10" s="3" customFormat="1" ht="60.75" customHeight="1" hidden="1">
      <c r="A32" s="19" t="s">
        <v>43</v>
      </c>
      <c r="B32" s="37" t="s">
        <v>84</v>
      </c>
      <c r="C32" s="36"/>
      <c r="D32" s="39">
        <f>D33+D34</f>
        <v>0</v>
      </c>
      <c r="E32" s="65"/>
      <c r="F32" s="30"/>
      <c r="G32" s="65" t="e">
        <f t="shared" si="1"/>
        <v>#DIV/0!</v>
      </c>
      <c r="H32" s="9">
        <f>H33+H34</f>
        <v>0</v>
      </c>
      <c r="I32" s="18">
        <f t="shared" si="2"/>
        <v>0</v>
      </c>
      <c r="J32" s="27"/>
    </row>
    <row r="33" spans="1:10" s="3" customFormat="1" ht="60.75" customHeight="1" hidden="1">
      <c r="A33" s="26" t="s">
        <v>69</v>
      </c>
      <c r="B33" s="34" t="s">
        <v>85</v>
      </c>
      <c r="C33" s="35"/>
      <c r="D33" s="46">
        <v>0</v>
      </c>
      <c r="E33" s="64"/>
      <c r="F33" s="28"/>
      <c r="G33" s="65" t="e">
        <f t="shared" si="1"/>
        <v>#DIV/0!</v>
      </c>
      <c r="H33" s="10">
        <v>0</v>
      </c>
      <c r="I33" s="18">
        <f t="shared" si="2"/>
        <v>0</v>
      </c>
      <c r="J33" s="27"/>
    </row>
    <row r="34" spans="1:10" s="3" customFormat="1" ht="60.75" customHeight="1" hidden="1">
      <c r="A34" s="26" t="s">
        <v>70</v>
      </c>
      <c r="B34" s="34" t="s">
        <v>86</v>
      </c>
      <c r="C34" s="35"/>
      <c r="D34" s="46">
        <v>0</v>
      </c>
      <c r="E34" s="64"/>
      <c r="F34" s="28"/>
      <c r="G34" s="65" t="e">
        <f t="shared" si="1"/>
        <v>#DIV/0!</v>
      </c>
      <c r="H34" s="10">
        <v>0</v>
      </c>
      <c r="I34" s="18">
        <f t="shared" si="2"/>
        <v>0</v>
      </c>
      <c r="J34" s="27"/>
    </row>
    <row r="35" spans="1:10" s="4" customFormat="1" ht="52.5" customHeight="1">
      <c r="A35" s="66" t="s">
        <v>29</v>
      </c>
      <c r="B35" s="21" t="s">
        <v>30</v>
      </c>
      <c r="C35" s="22" t="s">
        <v>28</v>
      </c>
      <c r="D35" s="63">
        <f>D36</f>
        <v>320466</v>
      </c>
      <c r="E35" s="63">
        <f>E36</f>
        <v>228063.16700000004</v>
      </c>
      <c r="F35" s="23">
        <f>F36</f>
        <v>-92402.833</v>
      </c>
      <c r="G35" s="63">
        <f t="shared" si="1"/>
        <v>-28.83389595152059</v>
      </c>
      <c r="H35" s="9">
        <f>H36</f>
        <v>0</v>
      </c>
      <c r="I35" s="18">
        <f t="shared" si="2"/>
        <v>92402.83299999996</v>
      </c>
      <c r="J35" s="37"/>
    </row>
    <row r="36" spans="1:10" s="3" customFormat="1" ht="53.25" customHeight="1">
      <c r="A36" s="19" t="s">
        <v>43</v>
      </c>
      <c r="B36" s="37" t="s">
        <v>32</v>
      </c>
      <c r="C36" s="36" t="s">
        <v>28</v>
      </c>
      <c r="D36" s="39">
        <f>D37+D38+D39+D40+D41+D42+D43+D44+D45+D46+D47+D48+D49</f>
        <v>320466</v>
      </c>
      <c r="E36" s="65">
        <f>E37+E38+E39+E40+E41+E42+E43+E44+E45+E46+E47+E48+E49</f>
        <v>228063.16700000004</v>
      </c>
      <c r="F36" s="30">
        <f>F37+F38+F39+F40+F41+F42+F43+F44+F45+F46+F47+F48+F49</f>
        <v>-92402.833</v>
      </c>
      <c r="G36" s="65">
        <f t="shared" si="1"/>
        <v>-28.83389595152059</v>
      </c>
      <c r="H36" s="9">
        <f>H37+H38+H39+H40+H41+H42+H43+H44+H45+H46+H47+H48+H49</f>
        <v>0</v>
      </c>
      <c r="I36" s="18">
        <f t="shared" si="2"/>
        <v>92402.83299999996</v>
      </c>
      <c r="J36" s="27"/>
    </row>
    <row r="37" spans="1:10" s="3" customFormat="1" ht="40.5" customHeight="1">
      <c r="A37" s="26" t="s">
        <v>69</v>
      </c>
      <c r="B37" s="34" t="s">
        <v>58</v>
      </c>
      <c r="C37" s="35" t="s">
        <v>28</v>
      </c>
      <c r="D37" s="46">
        <v>9822</v>
      </c>
      <c r="E37" s="64">
        <f>3653.6+692.9+1247+72.9+1328.6</f>
        <v>6995</v>
      </c>
      <c r="F37" s="28">
        <f aca="true" t="shared" si="3" ref="F37:F48">E37-D37</f>
        <v>-2827</v>
      </c>
      <c r="G37" s="65">
        <f t="shared" si="1"/>
        <v>-28.782325391977196</v>
      </c>
      <c r="H37" s="10">
        <v>0</v>
      </c>
      <c r="I37" s="18">
        <f t="shared" si="2"/>
        <v>2827</v>
      </c>
      <c r="J37" s="55" t="s">
        <v>133</v>
      </c>
    </row>
    <row r="38" spans="1:10" s="3" customFormat="1" ht="43.5" customHeight="1">
      <c r="A38" s="35" t="s">
        <v>70</v>
      </c>
      <c r="B38" s="34" t="s">
        <v>36</v>
      </c>
      <c r="C38" s="35" t="s">
        <v>28</v>
      </c>
      <c r="D38" s="46">
        <v>185947</v>
      </c>
      <c r="E38" s="64">
        <f>135823.7</f>
        <v>135823.7</v>
      </c>
      <c r="F38" s="28">
        <f t="shared" si="3"/>
        <v>-50123.29999999999</v>
      </c>
      <c r="G38" s="65">
        <f t="shared" si="1"/>
        <v>-26.955691675584973</v>
      </c>
      <c r="H38" s="10">
        <v>0</v>
      </c>
      <c r="I38" s="18">
        <f t="shared" si="2"/>
        <v>50123.29999999999</v>
      </c>
      <c r="J38" s="58" t="s">
        <v>105</v>
      </c>
    </row>
    <row r="39" spans="1:10" s="3" customFormat="1" ht="45" customHeight="1">
      <c r="A39" s="35" t="s">
        <v>71</v>
      </c>
      <c r="B39" s="34" t="s">
        <v>37</v>
      </c>
      <c r="C39" s="35" t="s">
        <v>28</v>
      </c>
      <c r="D39" s="46">
        <v>18409</v>
      </c>
      <c r="E39" s="64">
        <f>4288.1+8360</f>
        <v>12648.1</v>
      </c>
      <c r="F39" s="28">
        <f t="shared" si="3"/>
        <v>-5760.9</v>
      </c>
      <c r="G39" s="65">
        <f t="shared" si="1"/>
        <v>-31.29393231571514</v>
      </c>
      <c r="H39" s="10">
        <v>0</v>
      </c>
      <c r="I39" s="18">
        <f t="shared" si="2"/>
        <v>5760.9</v>
      </c>
      <c r="J39" s="58" t="s">
        <v>114</v>
      </c>
    </row>
    <row r="40" spans="1:10" s="3" customFormat="1" ht="40.5" customHeight="1">
      <c r="A40" s="26" t="s">
        <v>144</v>
      </c>
      <c r="B40" s="34" t="s">
        <v>41</v>
      </c>
      <c r="C40" s="35" t="s">
        <v>28</v>
      </c>
      <c r="D40" s="46">
        <v>3764</v>
      </c>
      <c r="E40" s="64">
        <v>2166.6</v>
      </c>
      <c r="F40" s="28">
        <f t="shared" si="3"/>
        <v>-1597.4</v>
      </c>
      <c r="G40" s="65">
        <f t="shared" si="1"/>
        <v>-42.43889479277365</v>
      </c>
      <c r="H40" s="10">
        <v>0</v>
      </c>
      <c r="I40" s="18">
        <f t="shared" si="2"/>
        <v>1597.4</v>
      </c>
      <c r="J40" s="55" t="s">
        <v>124</v>
      </c>
    </row>
    <row r="41" spans="1:10" s="3" customFormat="1" ht="42.75" customHeight="1">
      <c r="A41" s="35" t="s">
        <v>145</v>
      </c>
      <c r="B41" s="34" t="s">
        <v>38</v>
      </c>
      <c r="C41" s="35" t="s">
        <v>28</v>
      </c>
      <c r="D41" s="46">
        <v>27846</v>
      </c>
      <c r="E41" s="64">
        <f>16473.5+985.1+499.7+1532.9</f>
        <v>19491.2</v>
      </c>
      <c r="F41" s="28">
        <f t="shared" si="3"/>
        <v>-8354.8</v>
      </c>
      <c r="G41" s="65">
        <f t="shared" si="1"/>
        <v>-30.00359118006176</v>
      </c>
      <c r="H41" s="10">
        <v>0</v>
      </c>
      <c r="I41" s="18">
        <f t="shared" si="2"/>
        <v>8354.8</v>
      </c>
      <c r="J41" s="55" t="s">
        <v>119</v>
      </c>
    </row>
    <row r="42" spans="1:10" s="3" customFormat="1" ht="45" customHeight="1">
      <c r="A42" s="35" t="s">
        <v>146</v>
      </c>
      <c r="B42" s="34" t="s">
        <v>80</v>
      </c>
      <c r="C42" s="35" t="s">
        <v>28</v>
      </c>
      <c r="D42" s="46">
        <v>9024</v>
      </c>
      <c r="E42" s="64">
        <f>685.7+268+2342.5</f>
        <v>3296.2</v>
      </c>
      <c r="F42" s="28">
        <f t="shared" si="3"/>
        <v>-5727.8</v>
      </c>
      <c r="G42" s="65">
        <f t="shared" si="1"/>
        <v>-63.4729609929078</v>
      </c>
      <c r="H42" s="10">
        <v>0</v>
      </c>
      <c r="I42" s="18">
        <f t="shared" si="2"/>
        <v>5727.8</v>
      </c>
      <c r="J42" s="55" t="s">
        <v>115</v>
      </c>
    </row>
    <row r="43" spans="1:10" s="3" customFormat="1" ht="46.5" customHeight="1">
      <c r="A43" s="26" t="s">
        <v>147</v>
      </c>
      <c r="B43" s="34" t="s">
        <v>39</v>
      </c>
      <c r="C43" s="35" t="s">
        <v>28</v>
      </c>
      <c r="D43" s="46">
        <v>7023</v>
      </c>
      <c r="E43" s="64">
        <f>0.271+371.8+1397.4+814.9+2931.3+63.5</f>
        <v>5579.171</v>
      </c>
      <c r="F43" s="28">
        <f t="shared" si="3"/>
        <v>-1443.8289999999997</v>
      </c>
      <c r="G43" s="65">
        <f t="shared" si="1"/>
        <v>-20.558578954862597</v>
      </c>
      <c r="H43" s="10">
        <v>0</v>
      </c>
      <c r="I43" s="18">
        <f t="shared" si="2"/>
        <v>1443.8289999999997</v>
      </c>
      <c r="J43" s="55" t="s">
        <v>134</v>
      </c>
    </row>
    <row r="44" spans="1:10" s="3" customFormat="1" ht="34.5" customHeight="1">
      <c r="A44" s="26" t="s">
        <v>148</v>
      </c>
      <c r="B44" s="34" t="s">
        <v>63</v>
      </c>
      <c r="C44" s="35" t="s">
        <v>28</v>
      </c>
      <c r="D44" s="46">
        <v>1813</v>
      </c>
      <c r="E44" s="64">
        <v>824.4</v>
      </c>
      <c r="F44" s="28">
        <f t="shared" si="3"/>
        <v>-988.6</v>
      </c>
      <c r="G44" s="65">
        <f t="shared" si="1"/>
        <v>-54.52840595697739</v>
      </c>
      <c r="H44" s="10">
        <v>0</v>
      </c>
      <c r="I44" s="18">
        <f t="shared" si="2"/>
        <v>988.6</v>
      </c>
      <c r="J44" s="55" t="s">
        <v>116</v>
      </c>
    </row>
    <row r="45" spans="1:10" s="3" customFormat="1" ht="38.25" customHeight="1">
      <c r="A45" s="35" t="s">
        <v>149</v>
      </c>
      <c r="B45" s="34" t="s">
        <v>40</v>
      </c>
      <c r="C45" s="35" t="s">
        <v>28</v>
      </c>
      <c r="D45" s="46">
        <v>3622</v>
      </c>
      <c r="E45" s="64">
        <f>606.6+1318.7+1724.4</f>
        <v>3649.7000000000003</v>
      </c>
      <c r="F45" s="28">
        <f t="shared" si="3"/>
        <v>27.700000000000273</v>
      </c>
      <c r="G45" s="65">
        <f t="shared" si="1"/>
        <v>0.764770844837102</v>
      </c>
      <c r="H45" s="10">
        <v>0</v>
      </c>
      <c r="I45" s="18">
        <f t="shared" si="2"/>
        <v>-27.700000000000273</v>
      </c>
      <c r="J45" s="55" t="s">
        <v>135</v>
      </c>
    </row>
    <row r="46" spans="1:10" s="3" customFormat="1" ht="34.5" customHeight="1">
      <c r="A46" s="35" t="s">
        <v>150</v>
      </c>
      <c r="B46" s="34" t="s">
        <v>90</v>
      </c>
      <c r="C46" s="35" t="s">
        <v>28</v>
      </c>
      <c r="D46" s="46">
        <v>7936</v>
      </c>
      <c r="E46" s="64">
        <f>16+1073.9+54.9+12.7+474.3+1.3+1.8+658.5+4.3+35.8+0.596+21.3+26.4+303.5+3.3</f>
        <v>2688.596000000001</v>
      </c>
      <c r="F46" s="28">
        <f t="shared" si="3"/>
        <v>-5247.403999999999</v>
      </c>
      <c r="G46" s="65">
        <f t="shared" si="1"/>
        <v>-66.12152217741934</v>
      </c>
      <c r="H46" s="10">
        <v>0</v>
      </c>
      <c r="I46" s="18">
        <f t="shared" si="2"/>
        <v>5247.403999999999</v>
      </c>
      <c r="J46" s="55" t="s">
        <v>136</v>
      </c>
    </row>
    <row r="47" spans="1:10" s="3" customFormat="1" ht="42.75" customHeight="1">
      <c r="A47" s="35" t="s">
        <v>151</v>
      </c>
      <c r="B47" s="34" t="s">
        <v>64</v>
      </c>
      <c r="C47" s="35" t="s">
        <v>28</v>
      </c>
      <c r="D47" s="46">
        <v>2358</v>
      </c>
      <c r="E47" s="64">
        <v>2467.1</v>
      </c>
      <c r="F47" s="28">
        <f t="shared" si="3"/>
        <v>109.09999999999991</v>
      </c>
      <c r="G47" s="65">
        <f t="shared" si="1"/>
        <v>4.62680237489397</v>
      </c>
      <c r="H47" s="10">
        <v>0</v>
      </c>
      <c r="I47" s="18">
        <f t="shared" si="2"/>
        <v>-109.09999999999991</v>
      </c>
      <c r="J47" s="55" t="s">
        <v>137</v>
      </c>
    </row>
    <row r="48" spans="1:10" s="3" customFormat="1" ht="34.5" customHeight="1">
      <c r="A48" s="26" t="s">
        <v>152</v>
      </c>
      <c r="B48" s="34" t="s">
        <v>42</v>
      </c>
      <c r="C48" s="35" t="s">
        <v>28</v>
      </c>
      <c r="D48" s="46">
        <v>11423</v>
      </c>
      <c r="E48" s="64">
        <f>48.9+5652.9</f>
        <v>5701.799999999999</v>
      </c>
      <c r="F48" s="28">
        <f t="shared" si="3"/>
        <v>-5721.200000000001</v>
      </c>
      <c r="G48" s="65">
        <f t="shared" si="1"/>
        <v>-50.08491639674342</v>
      </c>
      <c r="H48" s="10">
        <v>0</v>
      </c>
      <c r="I48" s="18">
        <f t="shared" si="2"/>
        <v>5721.200000000001</v>
      </c>
      <c r="J48" s="56" t="s">
        <v>117</v>
      </c>
    </row>
    <row r="49" spans="1:10" s="3" customFormat="1" ht="53.25" customHeight="1">
      <c r="A49" s="19" t="s">
        <v>72</v>
      </c>
      <c r="B49" s="37" t="s">
        <v>73</v>
      </c>
      <c r="C49" s="36" t="s">
        <v>28</v>
      </c>
      <c r="D49" s="39">
        <f>SUM(D50:D54)</f>
        <v>31479</v>
      </c>
      <c r="E49" s="65">
        <f>SUM(E50:E54)</f>
        <v>26731.6</v>
      </c>
      <c r="F49" s="30">
        <f>SUM(F50:F54)</f>
        <v>-4747.400000000003</v>
      </c>
      <c r="G49" s="65">
        <f t="shared" si="1"/>
        <v>-15.081165221258615</v>
      </c>
      <c r="H49" s="9">
        <f>SUM(H50:H54)</f>
        <v>0</v>
      </c>
      <c r="I49" s="18">
        <f t="shared" si="2"/>
        <v>4747.4000000000015</v>
      </c>
      <c r="J49" s="27"/>
    </row>
    <row r="50" spans="1:10" s="3" customFormat="1" ht="42.75" customHeight="1">
      <c r="A50" s="26" t="s">
        <v>74</v>
      </c>
      <c r="B50" s="34" t="s">
        <v>81</v>
      </c>
      <c r="C50" s="35" t="s">
        <v>28</v>
      </c>
      <c r="D50" s="46">
        <v>21175</v>
      </c>
      <c r="E50" s="64">
        <f>3.6+27.4+34.3+465+533.7+3.3+2755.6+3550.9+1473.1</f>
        <v>8846.9</v>
      </c>
      <c r="F50" s="28">
        <f aca="true" t="shared" si="4" ref="F50:F61">E50-D50</f>
        <v>-12328.1</v>
      </c>
      <c r="G50" s="65">
        <f t="shared" si="1"/>
        <v>-58.22007083825266</v>
      </c>
      <c r="H50" s="10">
        <v>0</v>
      </c>
      <c r="I50" s="18">
        <f t="shared" si="2"/>
        <v>12328.1</v>
      </c>
      <c r="J50" s="55" t="s">
        <v>143</v>
      </c>
    </row>
    <row r="51" spans="1:10" s="3" customFormat="1" ht="33.75" customHeight="1">
      <c r="A51" s="26" t="s">
        <v>75</v>
      </c>
      <c r="B51" s="34" t="s">
        <v>76</v>
      </c>
      <c r="C51" s="35" t="s">
        <v>28</v>
      </c>
      <c r="D51" s="46">
        <v>691</v>
      </c>
      <c r="E51" s="64">
        <v>291.4</v>
      </c>
      <c r="F51" s="28">
        <f t="shared" si="4"/>
        <v>-399.6</v>
      </c>
      <c r="G51" s="65">
        <f t="shared" si="1"/>
        <v>-57.82923299565847</v>
      </c>
      <c r="H51" s="10">
        <v>0</v>
      </c>
      <c r="I51" s="18">
        <f t="shared" si="2"/>
        <v>399.6</v>
      </c>
      <c r="J51" s="55" t="s">
        <v>138</v>
      </c>
    </row>
    <row r="52" spans="1:10" s="3" customFormat="1" ht="38.25" customHeight="1">
      <c r="A52" s="26" t="s">
        <v>77</v>
      </c>
      <c r="B52" s="34" t="s">
        <v>66</v>
      </c>
      <c r="C52" s="35" t="s">
        <v>28</v>
      </c>
      <c r="D52" s="46">
        <v>679</v>
      </c>
      <c r="E52" s="64">
        <v>293.5</v>
      </c>
      <c r="F52" s="28">
        <f t="shared" si="4"/>
        <v>-385.5</v>
      </c>
      <c r="G52" s="65">
        <f t="shared" si="1"/>
        <v>-56.77466863033873</v>
      </c>
      <c r="H52" s="10">
        <v>0</v>
      </c>
      <c r="I52" s="18">
        <f t="shared" si="2"/>
        <v>385.5</v>
      </c>
      <c r="J52" s="55" t="s">
        <v>121</v>
      </c>
    </row>
    <row r="53" spans="1:10" s="3" customFormat="1" ht="39.75" customHeight="1">
      <c r="A53" s="26" t="s">
        <v>78</v>
      </c>
      <c r="B53" s="34" t="s">
        <v>101</v>
      </c>
      <c r="C53" s="35" t="s">
        <v>28</v>
      </c>
      <c r="D53" s="46">
        <v>862</v>
      </c>
      <c r="E53" s="64">
        <f>205.3+196.4+196.4</f>
        <v>598.1</v>
      </c>
      <c r="F53" s="28">
        <f t="shared" si="4"/>
        <v>-263.9</v>
      </c>
      <c r="G53" s="65">
        <f t="shared" si="1"/>
        <v>-30.614849187935036</v>
      </c>
      <c r="H53" s="10">
        <v>0</v>
      </c>
      <c r="I53" s="18">
        <f t="shared" si="2"/>
        <v>263.9</v>
      </c>
      <c r="J53" s="55" t="s">
        <v>139</v>
      </c>
    </row>
    <row r="54" spans="1:10" s="3" customFormat="1" ht="41.25" customHeight="1">
      <c r="A54" s="26" t="s">
        <v>79</v>
      </c>
      <c r="B54" s="34" t="s">
        <v>65</v>
      </c>
      <c r="C54" s="35" t="s">
        <v>28</v>
      </c>
      <c r="D54" s="46">
        <v>8072</v>
      </c>
      <c r="E54" s="64">
        <f>615+925.3+137.4+8054.2+397+184.7+428.4+136.7+60+144.8+29.9+1913.9+231.8+2.5+21.8+214.3+54.3+1696.4+203.3+1250</f>
        <v>16701.699999999997</v>
      </c>
      <c r="F54" s="28">
        <f t="shared" si="4"/>
        <v>8629.699999999997</v>
      </c>
      <c r="G54" s="65">
        <f t="shared" si="1"/>
        <v>106.9090683845391</v>
      </c>
      <c r="H54" s="10">
        <v>0</v>
      </c>
      <c r="I54" s="18">
        <f t="shared" si="2"/>
        <v>-8629.699999999997</v>
      </c>
      <c r="J54" s="55" t="s">
        <v>140</v>
      </c>
    </row>
    <row r="55" spans="1:10" s="5" customFormat="1" ht="33" customHeight="1">
      <c r="A55" s="36" t="s">
        <v>44</v>
      </c>
      <c r="B55" s="37" t="s">
        <v>50</v>
      </c>
      <c r="C55" s="36" t="s">
        <v>28</v>
      </c>
      <c r="D55" s="39">
        <f>D9+D35</f>
        <v>10171013</v>
      </c>
      <c r="E55" s="39">
        <f>E9+E35</f>
        <v>2951698.6300000004</v>
      </c>
      <c r="F55" s="38">
        <f t="shared" si="4"/>
        <v>-7219314.369999999</v>
      </c>
      <c r="G55" s="65">
        <f t="shared" si="1"/>
        <v>-70.97930530616763</v>
      </c>
      <c r="H55" s="18">
        <f>H9+H35</f>
        <v>10116</v>
      </c>
      <c r="I55" s="18">
        <f t="shared" si="2"/>
        <v>7219314.369999999</v>
      </c>
      <c r="J55" s="24"/>
    </row>
    <row r="56" spans="1:10" s="5" customFormat="1" ht="42.75" customHeight="1">
      <c r="A56" s="36" t="s">
        <v>45</v>
      </c>
      <c r="B56" s="37" t="s">
        <v>51</v>
      </c>
      <c r="C56" s="36" t="s">
        <v>28</v>
      </c>
      <c r="D56" s="39">
        <f>D57-D55</f>
        <v>438766</v>
      </c>
      <c r="E56" s="39">
        <f>E57-E55</f>
        <v>1029646.2699999996</v>
      </c>
      <c r="F56" s="30">
        <f t="shared" si="4"/>
        <v>590880.2699999996</v>
      </c>
      <c r="G56" s="65">
        <f t="shared" si="1"/>
        <v>134.66865481828575</v>
      </c>
      <c r="H56" s="9">
        <v>0</v>
      </c>
      <c r="I56" s="18">
        <f t="shared" si="2"/>
        <v>-590880.2699999996</v>
      </c>
      <c r="J56" s="59" t="s">
        <v>141</v>
      </c>
    </row>
    <row r="57" spans="1:10" s="5" customFormat="1" ht="52.5" customHeight="1">
      <c r="A57" s="36" t="s">
        <v>46</v>
      </c>
      <c r="B57" s="37" t="s">
        <v>52</v>
      </c>
      <c r="C57" s="36" t="s">
        <v>28</v>
      </c>
      <c r="D57" s="39">
        <v>10609779</v>
      </c>
      <c r="E57" s="39">
        <v>3981344.9</v>
      </c>
      <c r="F57" s="30">
        <f t="shared" si="4"/>
        <v>-6628434.1</v>
      </c>
      <c r="G57" s="65">
        <f t="shared" si="1"/>
        <v>-62.4747612556303</v>
      </c>
      <c r="H57" s="18">
        <f>H55+H56</f>
        <v>10116</v>
      </c>
      <c r="I57" s="18">
        <f t="shared" si="2"/>
        <v>6628434.1</v>
      </c>
      <c r="J57" s="54" t="s">
        <v>118</v>
      </c>
    </row>
    <row r="58" spans="1:10" s="3" customFormat="1" ht="50.25" customHeight="1">
      <c r="A58" s="26" t="s">
        <v>47</v>
      </c>
      <c r="B58" s="50" t="s">
        <v>55</v>
      </c>
      <c r="C58" s="35" t="s">
        <v>56</v>
      </c>
      <c r="D58" s="46">
        <v>446942</v>
      </c>
      <c r="E58" s="46">
        <f>191156+60820</f>
        <v>251976</v>
      </c>
      <c r="F58" s="30">
        <f t="shared" si="4"/>
        <v>-194966</v>
      </c>
      <c r="G58" s="65">
        <f t="shared" si="1"/>
        <v>-43.62221496301534</v>
      </c>
      <c r="H58" s="10">
        <v>427.5</v>
      </c>
      <c r="I58" s="18">
        <f t="shared" si="2"/>
        <v>194966</v>
      </c>
      <c r="J58" s="62" t="s">
        <v>120</v>
      </c>
    </row>
    <row r="59" spans="1:10" s="3" customFormat="1" ht="22.5" customHeight="1">
      <c r="A59" s="76" t="s">
        <v>48</v>
      </c>
      <c r="B59" s="77" t="s">
        <v>53</v>
      </c>
      <c r="C59" s="26" t="s">
        <v>57</v>
      </c>
      <c r="D59" s="46">
        <v>27</v>
      </c>
      <c r="E59" s="46">
        <v>26</v>
      </c>
      <c r="F59" s="30">
        <f t="shared" si="4"/>
        <v>-1</v>
      </c>
      <c r="G59" s="65">
        <f t="shared" si="1"/>
        <v>-3.7037037037037095</v>
      </c>
      <c r="H59" s="10">
        <v>0</v>
      </c>
      <c r="I59" s="10"/>
      <c r="J59" s="52"/>
    </row>
    <row r="60" spans="1:10" s="3" customFormat="1" ht="24.75" customHeight="1">
      <c r="A60" s="76"/>
      <c r="B60" s="77"/>
      <c r="C60" s="26" t="s">
        <v>56</v>
      </c>
      <c r="D60" s="46">
        <v>176170</v>
      </c>
      <c r="E60" s="46">
        <v>153150</v>
      </c>
      <c r="F60" s="30">
        <f t="shared" si="4"/>
        <v>-23020</v>
      </c>
      <c r="G60" s="65">
        <f t="shared" si="1"/>
        <v>-13.066923993869565</v>
      </c>
      <c r="H60" s="10">
        <v>0</v>
      </c>
      <c r="I60" s="10"/>
      <c r="J60" s="52"/>
    </row>
    <row r="61" spans="1:10" s="3" customFormat="1" ht="44.25" customHeight="1">
      <c r="A61" s="26" t="s">
        <v>49</v>
      </c>
      <c r="B61" s="27" t="s">
        <v>54</v>
      </c>
      <c r="C61" s="26"/>
      <c r="D61" s="29">
        <f>D57/D58</f>
        <v>23.738603666695006</v>
      </c>
      <c r="E61" s="29">
        <v>23.74</v>
      </c>
      <c r="F61" s="30">
        <f t="shared" si="4"/>
        <v>0.0013963333049922255</v>
      </c>
      <c r="G61" s="30">
        <v>0</v>
      </c>
      <c r="H61" s="9">
        <f>H57/H58</f>
        <v>23.66315789473684</v>
      </c>
      <c r="I61" s="9"/>
      <c r="J61" s="52"/>
    </row>
    <row r="62" spans="1:10" s="3" customFormat="1" ht="28.5" customHeight="1">
      <c r="A62" s="12"/>
      <c r="B62" s="13" t="s">
        <v>93</v>
      </c>
      <c r="C62" s="12"/>
      <c r="D62" s="12"/>
      <c r="E62" s="12"/>
      <c r="F62" s="12"/>
      <c r="G62" s="12"/>
      <c r="H62" s="12"/>
      <c r="I62" s="12"/>
      <c r="J62" s="52"/>
    </row>
    <row r="63" spans="1:10" s="3" customFormat="1" ht="40.5" customHeight="1">
      <c r="A63" s="26"/>
      <c r="B63" s="24" t="s">
        <v>94</v>
      </c>
      <c r="C63" s="26" t="s">
        <v>100</v>
      </c>
      <c r="D63" s="16">
        <f>D65+D66</f>
        <v>1519</v>
      </c>
      <c r="E63" s="16">
        <f>E65+E66</f>
        <v>1491</v>
      </c>
      <c r="F63" s="16"/>
      <c r="G63" s="65">
        <f>E63/D63*100-100</f>
        <v>-1.8433179723502349</v>
      </c>
      <c r="H63" s="17">
        <f>H65+H66</f>
        <v>10</v>
      </c>
      <c r="I63" s="17"/>
      <c r="J63" s="52"/>
    </row>
    <row r="64" spans="1:10" s="3" customFormat="1" ht="18.75">
      <c r="A64" s="12"/>
      <c r="B64" s="31" t="s">
        <v>95</v>
      </c>
      <c r="C64" s="12"/>
      <c r="D64" s="16"/>
      <c r="E64" s="16"/>
      <c r="F64" s="16"/>
      <c r="G64" s="16"/>
      <c r="H64" s="16"/>
      <c r="I64" s="16"/>
      <c r="J64" s="52"/>
    </row>
    <row r="65" spans="1:10" s="3" customFormat="1" ht="30" customHeight="1">
      <c r="A65" s="32"/>
      <c r="B65" s="32" t="s">
        <v>96</v>
      </c>
      <c r="C65" s="32"/>
      <c r="D65" s="16">
        <v>1381</v>
      </c>
      <c r="E65" s="16">
        <v>1350</v>
      </c>
      <c r="F65" s="16"/>
      <c r="G65" s="65">
        <f>E65/D65*100-100</f>
        <v>-2.2447501810282375</v>
      </c>
      <c r="H65" s="15">
        <v>10</v>
      </c>
      <c r="I65" s="15"/>
      <c r="J65" s="52"/>
    </row>
    <row r="66" spans="1:10" s="3" customFormat="1" ht="25.5" customHeight="1">
      <c r="A66" s="19"/>
      <c r="B66" s="24" t="s">
        <v>97</v>
      </c>
      <c r="C66" s="19"/>
      <c r="D66" s="16">
        <v>138</v>
      </c>
      <c r="E66" s="16">
        <v>141</v>
      </c>
      <c r="F66" s="16"/>
      <c r="G66" s="65">
        <f>E66/D66*100-100</f>
        <v>2.173913043478265</v>
      </c>
      <c r="H66" s="15">
        <v>0</v>
      </c>
      <c r="I66" s="15"/>
      <c r="J66" s="52"/>
    </row>
    <row r="67" spans="1:10" s="3" customFormat="1" ht="22.5" customHeight="1">
      <c r="A67" s="12"/>
      <c r="B67" s="12" t="s">
        <v>98</v>
      </c>
      <c r="C67" s="26" t="s">
        <v>99</v>
      </c>
      <c r="D67" s="16">
        <f>(D16+D38)/D63/12*1000</f>
        <v>92886.32872503842</v>
      </c>
      <c r="E67" s="16">
        <f>(E16+E38)/E63/12*1000</f>
        <v>46349.776436396154</v>
      </c>
      <c r="F67" s="16"/>
      <c r="G67" s="65">
        <f>E67/D67*100-100</f>
        <v>-50.1005400120824</v>
      </c>
      <c r="H67" s="17">
        <f>(H16+H38)/H63/12*1000</f>
        <v>73008.33333333334</v>
      </c>
      <c r="I67" s="17"/>
      <c r="J67" s="52"/>
    </row>
    <row r="68" spans="1:10" s="3" customFormat="1" ht="24.75" customHeight="1">
      <c r="A68" s="19"/>
      <c r="B68" s="31" t="s">
        <v>95</v>
      </c>
      <c r="C68" s="19"/>
      <c r="D68" s="16"/>
      <c r="E68" s="16"/>
      <c r="F68" s="16"/>
      <c r="G68" s="16"/>
      <c r="H68" s="15"/>
      <c r="I68" s="15"/>
      <c r="J68" s="52"/>
    </row>
    <row r="69" spans="1:10" s="3" customFormat="1" ht="26.25" customHeight="1">
      <c r="A69" s="26"/>
      <c r="B69" s="32" t="s">
        <v>96</v>
      </c>
      <c r="C69" s="26"/>
      <c r="D69" s="33">
        <f>D16/D65/12*1000</f>
        <v>90947.68283852283</v>
      </c>
      <c r="E69" s="33">
        <f>E16/E65/12*1000</f>
        <v>42806.57407407407</v>
      </c>
      <c r="F69" s="33"/>
      <c r="G69" s="65">
        <f>E69/D69*100-100</f>
        <v>-52.932749094798886</v>
      </c>
      <c r="H69" s="14">
        <f>H16/H65/12*1000</f>
        <v>73008.33333333334</v>
      </c>
      <c r="I69" s="14"/>
      <c r="J69" s="52"/>
    </row>
    <row r="70" spans="1:10" s="3" customFormat="1" ht="26.25" customHeight="1">
      <c r="A70" s="26"/>
      <c r="B70" s="24" t="s">
        <v>97</v>
      </c>
      <c r="C70" s="26"/>
      <c r="D70" s="33">
        <f>D38/D66/12*1000</f>
        <v>112286.83574879228</v>
      </c>
      <c r="E70" s="33">
        <f>E38/E66/12*1000</f>
        <v>80274.05437352248</v>
      </c>
      <c r="F70" s="33"/>
      <c r="G70" s="65">
        <f>E70/D70*100-100</f>
        <v>-28.50982589525337</v>
      </c>
      <c r="H70" s="14">
        <v>0</v>
      </c>
      <c r="I70" s="14"/>
      <c r="J70" s="52"/>
    </row>
    <row r="71" spans="1:10" s="3" customFormat="1" ht="33" customHeight="1">
      <c r="A71" s="1"/>
      <c r="B71" s="7"/>
      <c r="C71" s="1"/>
      <c r="D71" s="8"/>
      <c r="E71" s="8"/>
      <c r="F71" s="8"/>
      <c r="G71" s="8"/>
      <c r="J71" s="53"/>
    </row>
    <row r="72" spans="1:10" s="3" customFormat="1" ht="40.5" customHeight="1">
      <c r="A72" s="74"/>
      <c r="B72" s="74"/>
      <c r="C72" s="74"/>
      <c r="D72" s="74"/>
      <c r="E72" s="74"/>
      <c r="F72" s="74"/>
      <c r="G72" s="74"/>
      <c r="J72" s="53"/>
    </row>
    <row r="73" spans="1:10" s="3" customFormat="1" ht="39.75" customHeight="1">
      <c r="A73" s="72"/>
      <c r="B73" s="72"/>
      <c r="C73" s="72"/>
      <c r="D73" s="72"/>
      <c r="E73" s="72"/>
      <c r="F73" s="72"/>
      <c r="G73" s="72"/>
      <c r="H73" s="72"/>
      <c r="I73" s="72"/>
      <c r="J73" s="72"/>
    </row>
    <row r="74" spans="1:10" s="3" customFormat="1" ht="30.75" customHeight="1">
      <c r="A74" s="67"/>
      <c r="B74" s="67"/>
      <c r="C74" s="67"/>
      <c r="D74" s="67"/>
      <c r="E74" s="67"/>
      <c r="F74" s="67"/>
      <c r="G74" s="67"/>
      <c r="J74" s="53"/>
    </row>
    <row r="75" spans="1:10" s="3" customFormat="1" ht="36.75" customHeight="1">
      <c r="A75" s="40"/>
      <c r="B75" s="41"/>
      <c r="C75" s="40"/>
      <c r="D75" s="42"/>
      <c r="E75" s="42"/>
      <c r="F75" s="42"/>
      <c r="G75" s="42"/>
      <c r="J75" s="53"/>
    </row>
    <row r="76" spans="1:10" s="3" customFormat="1" ht="25.5">
      <c r="A76" s="67"/>
      <c r="B76" s="67"/>
      <c r="C76" s="67"/>
      <c r="D76" s="67"/>
      <c r="E76" s="67"/>
      <c r="F76" s="67"/>
      <c r="G76" s="67"/>
      <c r="J76" s="53"/>
    </row>
    <row r="77" spans="1:10" s="3" customFormat="1" ht="18.75">
      <c r="A77" s="1"/>
      <c r="B77" s="7"/>
      <c r="C77" s="1"/>
      <c r="D77" s="8"/>
      <c r="E77" s="8"/>
      <c r="F77" s="8"/>
      <c r="G77" s="8"/>
      <c r="J77" s="53"/>
    </row>
    <row r="78" spans="1:10" s="3" customFormat="1" ht="18.75">
      <c r="A78" s="1"/>
      <c r="B78" s="7"/>
      <c r="C78" s="1"/>
      <c r="D78" s="8"/>
      <c r="E78" s="8"/>
      <c r="F78" s="8"/>
      <c r="G78" s="8"/>
      <c r="J78" s="53"/>
    </row>
    <row r="79" spans="1:10" s="3" customFormat="1" ht="18.75">
      <c r="A79" s="1"/>
      <c r="B79" s="7"/>
      <c r="C79" s="1"/>
      <c r="D79" s="8"/>
      <c r="E79" s="8"/>
      <c r="F79" s="8"/>
      <c r="G79" s="8"/>
      <c r="J79" s="53"/>
    </row>
    <row r="80" spans="1:10" s="3" customFormat="1" ht="18.75">
      <c r="A80" s="1"/>
      <c r="B80" s="7"/>
      <c r="C80" s="1"/>
      <c r="D80" s="8"/>
      <c r="E80" s="8"/>
      <c r="F80" s="8"/>
      <c r="G80" s="8"/>
      <c r="J80" s="53"/>
    </row>
    <row r="81" spans="1:10" s="3" customFormat="1" ht="18.75">
      <c r="A81" s="1"/>
      <c r="B81" s="7"/>
      <c r="C81" s="1"/>
      <c r="D81" s="8"/>
      <c r="E81" s="8"/>
      <c r="F81" s="8"/>
      <c r="G81" s="8"/>
      <c r="J81" s="53"/>
    </row>
    <row r="82" spans="1:10" s="3" customFormat="1" ht="18.75">
      <c r="A82" s="1"/>
      <c r="B82" s="7"/>
      <c r="C82" s="1"/>
      <c r="D82" s="8"/>
      <c r="E82" s="8"/>
      <c r="F82" s="8"/>
      <c r="G82" s="8"/>
      <c r="J82" s="53"/>
    </row>
    <row r="83" ht="18.75">
      <c r="C83" s="1"/>
    </row>
    <row r="84" ht="18.75">
      <c r="C84" s="1"/>
    </row>
    <row r="85" ht="18.75">
      <c r="C85" s="1"/>
    </row>
    <row r="86" ht="18.75">
      <c r="C86" s="1"/>
    </row>
    <row r="87" ht="18.75">
      <c r="C87" s="1"/>
    </row>
    <row r="88" ht="18.75">
      <c r="C88" s="1"/>
    </row>
    <row r="89" ht="18.75">
      <c r="C89" s="1"/>
    </row>
    <row r="90" ht="18.75">
      <c r="C90" s="1"/>
    </row>
    <row r="91" ht="18.75">
      <c r="C91" s="1"/>
    </row>
    <row r="92" ht="18.75">
      <c r="C92" s="1"/>
    </row>
    <row r="93" ht="18.75">
      <c r="C93" s="1"/>
    </row>
    <row r="94" ht="18.75">
      <c r="C94" s="1"/>
    </row>
    <row r="95" ht="18.75">
      <c r="C95" s="1"/>
    </row>
    <row r="96" ht="18.75">
      <c r="C96" s="1"/>
    </row>
    <row r="97" ht="18.75">
      <c r="C97" s="1"/>
    </row>
    <row r="98" ht="18.75">
      <c r="C98" s="1"/>
    </row>
    <row r="99" ht="18.75">
      <c r="C99" s="1"/>
    </row>
    <row r="100" ht="18.75">
      <c r="C100" s="1"/>
    </row>
    <row r="101" ht="18.75">
      <c r="C101" s="1"/>
    </row>
    <row r="102" ht="18.75">
      <c r="C102" s="1"/>
    </row>
    <row r="103" ht="18.75">
      <c r="C103" s="1"/>
    </row>
    <row r="104" ht="18.75">
      <c r="C104" s="1"/>
    </row>
    <row r="105" ht="18.75">
      <c r="C105" s="1"/>
    </row>
    <row r="106" ht="18.75">
      <c r="C106" s="1"/>
    </row>
    <row r="107" ht="18.75">
      <c r="C107" s="1"/>
    </row>
    <row r="108" ht="18.75">
      <c r="C108" s="1"/>
    </row>
    <row r="109" ht="18.75">
      <c r="C109" s="1"/>
    </row>
    <row r="110" ht="18.75">
      <c r="C110" s="1"/>
    </row>
    <row r="111" ht="18.75">
      <c r="C111" s="1"/>
    </row>
    <row r="112" ht="18.75">
      <c r="C112" s="1"/>
    </row>
    <row r="113" ht="18.75">
      <c r="C113" s="1"/>
    </row>
    <row r="114" ht="18.75">
      <c r="C114" s="1"/>
    </row>
    <row r="115" ht="18.75">
      <c r="C115" s="1"/>
    </row>
    <row r="116" ht="18.75">
      <c r="C116" s="1"/>
    </row>
    <row r="117" ht="18.75">
      <c r="C117" s="1"/>
    </row>
    <row r="118" ht="18.75">
      <c r="C118" s="1"/>
    </row>
    <row r="119" ht="18.75">
      <c r="C119" s="1"/>
    </row>
    <row r="120" ht="18.75">
      <c r="C120" s="1"/>
    </row>
    <row r="121" ht="18.75">
      <c r="C121" s="1"/>
    </row>
    <row r="122" ht="18.75">
      <c r="C122" s="1"/>
    </row>
    <row r="123" ht="18.75">
      <c r="C123" s="1"/>
    </row>
    <row r="124" ht="18.75">
      <c r="C124" s="1"/>
    </row>
    <row r="125" ht="18.75">
      <c r="C125" s="1"/>
    </row>
    <row r="126" ht="18.75">
      <c r="C126" s="1"/>
    </row>
    <row r="127" ht="18.75">
      <c r="C127" s="1"/>
    </row>
    <row r="128" ht="18.75">
      <c r="C128" s="1"/>
    </row>
    <row r="129" ht="18.75">
      <c r="C129" s="1"/>
    </row>
    <row r="130" ht="18.75">
      <c r="C130" s="1"/>
    </row>
    <row r="131" ht="18.75">
      <c r="C131" s="1"/>
    </row>
    <row r="132" ht="18.75">
      <c r="C132" s="1"/>
    </row>
    <row r="133" ht="18.75">
      <c r="C133" s="1"/>
    </row>
    <row r="134" ht="18.75">
      <c r="C134" s="1"/>
    </row>
    <row r="135" ht="18.75">
      <c r="C135" s="1"/>
    </row>
    <row r="136" ht="18.75">
      <c r="C136" s="1"/>
    </row>
    <row r="137" ht="18.75">
      <c r="C137" s="1"/>
    </row>
    <row r="138" ht="18.75">
      <c r="C138" s="1"/>
    </row>
    <row r="139" ht="18.75">
      <c r="C139" s="1"/>
    </row>
    <row r="140" ht="18.75">
      <c r="C140" s="1"/>
    </row>
    <row r="141" ht="18.75">
      <c r="C141" s="1"/>
    </row>
    <row r="142" ht="18.75">
      <c r="C142" s="1"/>
    </row>
    <row r="143" ht="18.75">
      <c r="C143" s="1"/>
    </row>
    <row r="144" ht="18.75">
      <c r="C144" s="1"/>
    </row>
    <row r="145" ht="18.75">
      <c r="C145" s="1"/>
    </row>
    <row r="146" ht="18.75">
      <c r="C146" s="1"/>
    </row>
    <row r="147" ht="18.75">
      <c r="C147" s="1"/>
    </row>
    <row r="148" ht="18.75">
      <c r="C148" s="1"/>
    </row>
    <row r="149" ht="18.75">
      <c r="C149" s="1"/>
    </row>
    <row r="150" ht="18.75">
      <c r="C150" s="1"/>
    </row>
    <row r="151" ht="18.75">
      <c r="C151" s="1"/>
    </row>
    <row r="152" ht="18.75">
      <c r="C152" s="1"/>
    </row>
    <row r="153" ht="18.75">
      <c r="C153" s="1"/>
    </row>
    <row r="154" ht="18.75">
      <c r="C154" s="1"/>
    </row>
    <row r="155" ht="18.75">
      <c r="C155" s="1"/>
    </row>
    <row r="156" ht="18.75">
      <c r="C156" s="1"/>
    </row>
    <row r="157" ht="18.75">
      <c r="C157" s="1"/>
    </row>
    <row r="158" ht="18.75">
      <c r="C158" s="1"/>
    </row>
    <row r="159" ht="18.75">
      <c r="C159" s="1"/>
    </row>
    <row r="160" ht="18.75">
      <c r="C160" s="1"/>
    </row>
  </sheetData>
  <sheetProtection/>
  <mergeCells count="17">
    <mergeCell ref="A2:D2"/>
    <mergeCell ref="A59:A60"/>
    <mergeCell ref="B59:B60"/>
    <mergeCell ref="A6:A8"/>
    <mergeCell ref="B6:B8"/>
    <mergeCell ref="C6:C8"/>
    <mergeCell ref="A4:J4"/>
    <mergeCell ref="I6:I8"/>
    <mergeCell ref="A74:G74"/>
    <mergeCell ref="A76:G76"/>
    <mergeCell ref="D6:D8"/>
    <mergeCell ref="E6:E8"/>
    <mergeCell ref="F6:F8"/>
    <mergeCell ref="G6:G8"/>
    <mergeCell ref="A73:J73"/>
    <mergeCell ref="J6:J8"/>
    <mergeCell ref="A72:G72"/>
  </mergeCells>
  <printOptions/>
  <pageMargins left="0.1968503937007874" right="0.1968503937007874" top="0.2362204724409449" bottom="0.15748031496062992" header="0.2362204724409449" footer="0"/>
  <pageSetup horizontalDpi="600" verticalDpi="600" orientation="portrait" paperSize="9" scale="50" r:id="rId1"/>
  <rowBreaks count="2" manualBreakCount="2">
    <brk id="42" max="9" man="1"/>
    <brk id="7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Светлана</dc:creator>
  <cp:keywords/>
  <dc:description/>
  <cp:lastModifiedBy>Nurzhamal</cp:lastModifiedBy>
  <cp:lastPrinted>2018-06-28T05:51:36Z</cp:lastPrinted>
  <dcterms:created xsi:type="dcterms:W3CDTF">1996-10-08T23:32:33Z</dcterms:created>
  <dcterms:modified xsi:type="dcterms:W3CDTF">2018-06-28T05:51:51Z</dcterms:modified>
  <cp:category/>
  <cp:version/>
  <cp:contentType/>
  <cp:contentStatus/>
</cp:coreProperties>
</file>