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 activeTab="1"/>
  </bookViews>
  <sheets>
    <sheet name="рус.яз" sheetId="5" r:id="rId1"/>
    <sheet name="каз.яз" sheetId="6" r:id="rId2"/>
  </sheets>
  <calcPr calcId="124519"/>
</workbook>
</file>

<file path=xl/calcChain.xml><?xml version="1.0" encoding="utf-8"?>
<calcChain xmlns="http://schemas.openxmlformats.org/spreadsheetml/2006/main">
  <c r="H26" i="6"/>
  <c r="H25"/>
  <c r="H24"/>
  <c r="H23"/>
  <c r="H18"/>
  <c r="E18"/>
  <c r="H17"/>
  <c r="H16"/>
  <c r="G15"/>
  <c r="H15" s="1"/>
  <c r="F15"/>
  <c r="F10" s="1"/>
  <c r="F9" s="1"/>
  <c r="H14"/>
  <c r="H13"/>
  <c r="E13"/>
  <c r="H12"/>
  <c r="G12"/>
  <c r="F12"/>
  <c r="G10"/>
  <c r="G9" s="1"/>
  <c r="E10"/>
  <c r="E9" s="1"/>
  <c r="D10"/>
  <c r="D9" s="1"/>
  <c r="H8"/>
  <c r="E8"/>
  <c r="D8"/>
  <c r="H7"/>
  <c r="E7"/>
  <c r="H6"/>
  <c r="E6"/>
  <c r="D6"/>
  <c r="H5"/>
  <c r="E5"/>
  <c r="D5"/>
  <c r="D4" s="1"/>
  <c r="D19" s="1"/>
  <c r="D21" s="1"/>
  <c r="G4"/>
  <c r="G19" s="1"/>
  <c r="F4"/>
  <c r="H4" s="1"/>
  <c r="E4"/>
  <c r="H5" i="5"/>
  <c r="H7"/>
  <c r="H8"/>
  <c r="H9"/>
  <c r="H10"/>
  <c r="H11"/>
  <c r="H12"/>
  <c r="H14"/>
  <c r="H15"/>
  <c r="H16"/>
  <c r="H17"/>
  <c r="H18"/>
  <c r="H20"/>
  <c r="H21"/>
  <c r="H22"/>
  <c r="H23"/>
  <c r="H24"/>
  <c r="H25"/>
  <c r="H26"/>
  <c r="H27"/>
  <c r="H28"/>
  <c r="H29"/>
  <c r="H31"/>
  <c r="H33"/>
  <c r="H34"/>
  <c r="H35"/>
  <c r="H36"/>
  <c r="H37"/>
  <c r="H38"/>
  <c r="H39"/>
  <c r="H40"/>
  <c r="H41"/>
  <c r="H42"/>
  <c r="H43"/>
  <c r="H44"/>
  <c r="H45"/>
  <c r="H46"/>
  <c r="H47"/>
  <c r="H48"/>
  <c r="H50"/>
  <c r="H52"/>
  <c r="H53"/>
  <c r="H4"/>
  <c r="G20" i="6" l="1"/>
  <c r="E19"/>
  <c r="E21" s="1"/>
  <c r="E26" s="1"/>
  <c r="H9"/>
  <c r="H10"/>
  <c r="F19"/>
  <c r="G41" i="5"/>
  <c r="G22"/>
  <c r="G15"/>
  <c r="G45"/>
  <c r="G44"/>
  <c r="G43"/>
  <c r="E43"/>
  <c r="G42"/>
  <c r="E41"/>
  <c r="E40"/>
  <c r="G39"/>
  <c r="E39"/>
  <c r="G36"/>
  <c r="G34"/>
  <c r="E34"/>
  <c r="F31"/>
  <c r="D31"/>
  <c r="D29" s="1"/>
  <c r="E28"/>
  <c r="E27"/>
  <c r="E25"/>
  <c r="E24"/>
  <c r="D24"/>
  <c r="D18" s="1"/>
  <c r="G23"/>
  <c r="E22"/>
  <c r="G21"/>
  <c r="E21"/>
  <c r="E20"/>
  <c r="E18" s="1"/>
  <c r="F18"/>
  <c r="E17"/>
  <c r="G12"/>
  <c r="E14"/>
  <c r="E15" s="1"/>
  <c r="F12"/>
  <c r="D12"/>
  <c r="E11"/>
  <c r="E10"/>
  <c r="E5" s="1"/>
  <c r="G5"/>
  <c r="F5"/>
  <c r="F4" s="1"/>
  <c r="D5"/>
  <c r="F21" i="6" l="1"/>
  <c r="H21" s="1"/>
  <c r="F20"/>
  <c r="H19"/>
  <c r="D4" i="5"/>
  <c r="D48" s="1"/>
  <c r="D50" s="1"/>
  <c r="G31"/>
  <c r="E31"/>
  <c r="E29" s="1"/>
  <c r="F48"/>
  <c r="G29"/>
  <c r="G18"/>
  <c r="E12"/>
  <c r="E4" s="1"/>
  <c r="E48" s="1"/>
  <c r="E50" s="1"/>
  <c r="E53" s="1"/>
  <c r="F29"/>
  <c r="F50" l="1"/>
  <c r="G4"/>
  <c r="G48" l="1"/>
  <c r="G49" s="1"/>
</calcChain>
</file>

<file path=xl/sharedStrings.xml><?xml version="1.0" encoding="utf-8"?>
<sst xmlns="http://schemas.openxmlformats.org/spreadsheetml/2006/main" count="223" uniqueCount="141">
  <si>
    <t>№ п/п</t>
  </si>
  <si>
    <t xml:space="preserve">Наименование показателей  </t>
  </si>
  <si>
    <t>Единица измерения</t>
  </si>
  <si>
    <t>I</t>
  </si>
  <si>
    <t>Затраты на производство товаров и предоставление услуг, всего</t>
  </si>
  <si>
    <t>тыс. тенге</t>
  </si>
  <si>
    <t>1.</t>
  </si>
  <si>
    <t>Материальные затраты, всего</t>
  </si>
  <si>
    <t>в том числе:</t>
  </si>
  <si>
    <t>1.1.</t>
  </si>
  <si>
    <t>Сырье и материалы</t>
  </si>
  <si>
    <t>1.2.</t>
  </si>
  <si>
    <t>Химические реагенты</t>
  </si>
  <si>
    <t>1.3.</t>
  </si>
  <si>
    <t>Запасные части для автотехники</t>
  </si>
  <si>
    <t>1.4.</t>
  </si>
  <si>
    <t>Горюче-смазочные материалы</t>
  </si>
  <si>
    <t>1.5.</t>
  </si>
  <si>
    <t>Электроэнергия</t>
  </si>
  <si>
    <t>2.</t>
  </si>
  <si>
    <t>Затраты на оплату труда, всего</t>
  </si>
  <si>
    <t>2.1.1.</t>
  </si>
  <si>
    <t xml:space="preserve">Заработная плата </t>
  </si>
  <si>
    <t>2.1.2.</t>
  </si>
  <si>
    <t>Социальный налог и отчисления</t>
  </si>
  <si>
    <t>3.</t>
  </si>
  <si>
    <t>Амортизация</t>
  </si>
  <si>
    <t>4.</t>
  </si>
  <si>
    <t>Прочие затраты, всего</t>
  </si>
  <si>
    <t>4.1.</t>
  </si>
  <si>
    <t xml:space="preserve">Дератизационные, дезинфекционные, дезинсекционные работы </t>
  </si>
  <si>
    <t>4.2.</t>
  </si>
  <si>
    <t xml:space="preserve">Охрана труда и техника безопасности  </t>
  </si>
  <si>
    <t>4.3.</t>
  </si>
  <si>
    <t>Коммунальные услуги</t>
  </si>
  <si>
    <t>4.4.</t>
  </si>
  <si>
    <t>4.5.</t>
  </si>
  <si>
    <t>4.6.</t>
  </si>
  <si>
    <t>Поверка счетчиков и кранов</t>
  </si>
  <si>
    <t>4.7.</t>
  </si>
  <si>
    <t>Техосмотр транспорта</t>
  </si>
  <si>
    <t>4.8.</t>
  </si>
  <si>
    <t>Техобслуживание охранно-пожарной сигнализации</t>
  </si>
  <si>
    <t>4.9.</t>
  </si>
  <si>
    <t>Техобслуживание системы видеонаблюдения</t>
  </si>
  <si>
    <t>II.</t>
  </si>
  <si>
    <t>Расходы периода, всего</t>
  </si>
  <si>
    <t>5.</t>
  </si>
  <si>
    <t>Общие административные расходы, всего</t>
  </si>
  <si>
    <t>5.1.</t>
  </si>
  <si>
    <t>Заработная плата административного персонала</t>
  </si>
  <si>
    <t>5.2.</t>
  </si>
  <si>
    <t>5.3.</t>
  </si>
  <si>
    <t>Услуги банка</t>
  </si>
  <si>
    <t>5.4.</t>
  </si>
  <si>
    <t>5.5.</t>
  </si>
  <si>
    <t xml:space="preserve">Расходы на содержание и обслуживание оргтехники </t>
  </si>
  <si>
    <t>5.6.</t>
  </si>
  <si>
    <t>5.7.</t>
  </si>
  <si>
    <t>Канцелярские расходы</t>
  </si>
  <si>
    <t>5.8.</t>
  </si>
  <si>
    <t>Налоговые платежи</t>
  </si>
  <si>
    <t>5.9.</t>
  </si>
  <si>
    <t>5.10.</t>
  </si>
  <si>
    <t>Расходы на периодическую печать</t>
  </si>
  <si>
    <t>5.11.</t>
  </si>
  <si>
    <t>Услуги связи</t>
  </si>
  <si>
    <t>5.12.</t>
  </si>
  <si>
    <t>Расходы на содержание служебного автотранспорта</t>
  </si>
  <si>
    <t>5.13.</t>
  </si>
  <si>
    <t>Услуги сторонних организаций, консультационные, инфом.услуги, сопровождение 1С бухгалтерия</t>
  </si>
  <si>
    <t>5.14.</t>
  </si>
  <si>
    <t>5.15.</t>
  </si>
  <si>
    <t>III.</t>
  </si>
  <si>
    <t>Всего затрат</t>
  </si>
  <si>
    <t>IV.</t>
  </si>
  <si>
    <t>Прибыль</t>
  </si>
  <si>
    <t>Всего доходов</t>
  </si>
  <si>
    <t>Объем оказываемых услуг</t>
  </si>
  <si>
    <t>VII.</t>
  </si>
  <si>
    <t>тенге</t>
  </si>
  <si>
    <r>
      <t>тыс.м</t>
    </r>
    <r>
      <rPr>
        <b/>
        <sz val="11"/>
        <color indexed="8"/>
        <rFont val="Arial"/>
        <family val="2"/>
        <charset val="204"/>
      </rPr>
      <t>³</t>
    </r>
  </si>
  <si>
    <r>
      <t>Тариф за 1 м</t>
    </r>
    <r>
      <rPr>
        <b/>
        <sz val="11"/>
        <color indexed="8"/>
        <rFont val="Arial"/>
        <family val="2"/>
        <charset val="204"/>
      </rPr>
      <t>³</t>
    </r>
    <r>
      <rPr>
        <b/>
        <sz val="11"/>
        <color indexed="8"/>
        <rFont val="Times New Roman"/>
        <family val="1"/>
        <charset val="204"/>
      </rPr>
      <t>(без НДС)</t>
    </r>
  </si>
  <si>
    <t>Командировочные расходы</t>
  </si>
  <si>
    <t xml:space="preserve">                Главный бухгалтер</t>
  </si>
  <si>
    <t>А.Ашигалиева</t>
  </si>
  <si>
    <t>Исп.Б.Файзуллина</t>
  </si>
  <si>
    <t>Обязательные виды страхования</t>
  </si>
  <si>
    <t>Командировочные расходы, выплаты за разъездной характер работы</t>
  </si>
  <si>
    <t>Обязательное медицинское социальное страхование</t>
  </si>
  <si>
    <t>2.1.3.</t>
  </si>
  <si>
    <t>V.</t>
  </si>
  <si>
    <t>VI.</t>
  </si>
  <si>
    <t>Предусмотрено в утвержденной тарифной смете на 2022 год</t>
  </si>
  <si>
    <t>Факт за 6 месяцев 2022 года</t>
  </si>
  <si>
    <t xml:space="preserve">                И.о.директора филиала</t>
  </si>
  <si>
    <t>Р.Хусаинов</t>
  </si>
  <si>
    <t>Информация для потребителей по исполнению тарифной сметы за 1ое полугодие 2022 года на услуги  подачи питьевой воды по магистральным сетям Бокейординского производственного участка Западно-Казахстанского филиала Республиканского государственного предприятия по водному хозяйству "Казводхоз" с 01 января по 30 июня 2022 года</t>
  </si>
  <si>
    <t>Уменьшение дохода за 2020 год (возврат субсидии за 2020 год в 2022 году)</t>
  </si>
  <si>
    <t>VIII.</t>
  </si>
  <si>
    <t>Отклонение %</t>
  </si>
  <si>
    <t xml:space="preserve">             "Қазсушар" су шаруашылығы жөніндегі Республикалық мемлекеттік кәсіпорны Батыс Қазақстан филиалының Бөкей ордасы өндірістік учаскесінің магистралдық желілері арқылы ауыз су беру қызметтеріне 2022 жылдың 1 жартыжылдығы бойынша тарифтік сметаның орындалуы туралы тұтынушылар үшін ақпарат        </t>
  </si>
  <si>
    <t>№ р/р</t>
  </si>
  <si>
    <t>Көрсеткіштердің атауы</t>
  </si>
  <si>
    <t>Өлшем бірлігі</t>
  </si>
  <si>
    <t xml:space="preserve">2022 жылға бекітілген тарифтік сметада қарастырылғаны </t>
  </si>
  <si>
    <t>2022 жылғы 6 айдың дерегі</t>
  </si>
  <si>
    <t>Ауытқу %</t>
  </si>
  <si>
    <t>Тауарларды өндіруге және реттеліп көрсетілетін қызметтерді ұсынуға арналған шығындар, барлығы</t>
  </si>
  <si>
    <t>мың теңге</t>
  </si>
  <si>
    <t>Материалдық шығын, барлығы</t>
  </si>
  <si>
    <t>Негізгі өндірістің (НӨ) еңбекақы шығындары, барлығы</t>
  </si>
  <si>
    <t>Өтемпұл (амортизация)</t>
  </si>
  <si>
    <t>Өндірістік сипаттағы бөгде ұйымдардың қызметтері және НӨ басқа да шығындары, барлығы</t>
  </si>
  <si>
    <t>Кезеңдегі шығындар, барлығы</t>
  </si>
  <si>
    <t>Жалпы әкімшілік шығыстар, барлығы</t>
  </si>
  <si>
    <t>соның ішінде:</t>
  </si>
  <si>
    <t>6.1.</t>
  </si>
  <si>
    <t>Әкімшілік қызметкерлерінің еңбекақы шығындары, барлығы</t>
  </si>
  <si>
    <t>6.2.</t>
  </si>
  <si>
    <t>Салық төлемі</t>
  </si>
  <si>
    <t>6.3.</t>
  </si>
  <si>
    <t>6.4.</t>
  </si>
  <si>
    <t>Бөгде ұйымдар қызметтерінің кезеңдегі шығындары</t>
  </si>
  <si>
    <t>6.5.</t>
  </si>
  <si>
    <t>Іссапар шығындары</t>
  </si>
  <si>
    <t>6.6.</t>
  </si>
  <si>
    <t>Қызметтік автокөлікті күтіп ұстауға арналған шығындар</t>
  </si>
  <si>
    <t>6.7.</t>
  </si>
  <si>
    <t>Кеңсе шығындары</t>
  </si>
  <si>
    <t>Барлық шығындар</t>
  </si>
  <si>
    <t>Кіріс</t>
  </si>
  <si>
    <t>Барлық кіріс</t>
  </si>
  <si>
    <t xml:space="preserve">2020 жылғы кірістің азаюы (2022 жылы 2020 жылға субсидияны қайтару) </t>
  </si>
  <si>
    <t xml:space="preserve">Көрсетілетін қызметтердің көлемі </t>
  </si>
  <si>
    <r>
      <t>мың.м</t>
    </r>
    <r>
      <rPr>
        <b/>
        <sz val="11"/>
        <color indexed="8"/>
        <rFont val="Arial"/>
        <family val="2"/>
        <charset val="204"/>
      </rPr>
      <t>³</t>
    </r>
  </si>
  <si>
    <t>Нормативтік техникалық жоғалымдар</t>
  </si>
  <si>
    <t>%</t>
  </si>
  <si>
    <t>IX.</t>
  </si>
  <si>
    <r>
      <t>1 м</t>
    </r>
    <r>
      <rPr>
        <b/>
        <sz val="11"/>
        <color indexed="8"/>
        <rFont val="Arial"/>
        <family val="2"/>
        <charset val="204"/>
      </rPr>
      <t xml:space="preserve">³ </t>
    </r>
    <r>
      <rPr>
        <b/>
        <sz val="11"/>
        <color indexed="8"/>
        <rFont val="Times New Roman"/>
        <family val="1"/>
        <charset val="204"/>
      </rPr>
      <t>үшін тариф</t>
    </r>
    <r>
      <rPr>
        <b/>
        <sz val="11"/>
        <color indexed="8"/>
        <rFont val="Arial"/>
        <family val="2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(ҚҚС-сыз)</t>
    </r>
  </si>
  <si>
    <t>теңге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</si>
</sst>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7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6" fontId="2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Alignment="1">
      <alignment horizontal="center"/>
    </xf>
    <xf numFmtId="0" fontId="0" fillId="2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5" fillId="2" borderId="0" xfId="0" applyFont="1" applyFill="1"/>
    <xf numFmtId="0" fontId="6" fillId="0" borderId="0" xfId="0" applyFont="1"/>
    <xf numFmtId="0" fontId="0" fillId="0" borderId="0" xfId="0" applyAlignment="1">
      <alignment horizontal="left"/>
    </xf>
    <xf numFmtId="164" fontId="2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0" fillId="2" borderId="0" xfId="0" applyNumberFormat="1" applyFont="1" applyFill="1"/>
    <xf numFmtId="4" fontId="0" fillId="2" borderId="0" xfId="0" applyNumberFormat="1" applyFont="1" applyFill="1"/>
    <xf numFmtId="164" fontId="3" fillId="2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opLeftCell="A40" workbookViewId="0">
      <selection activeCell="G60" sqref="G60"/>
    </sheetView>
  </sheetViews>
  <sheetFormatPr defaultRowHeight="15"/>
  <cols>
    <col min="1" max="1" width="7.5703125" style="15" customWidth="1"/>
    <col min="2" max="2" width="41.85546875" style="1" customWidth="1"/>
    <col min="3" max="3" width="14.42578125" style="1" customWidth="1"/>
    <col min="4" max="4" width="0.140625" style="16" hidden="1" customWidth="1"/>
    <col min="5" max="5" width="11.28515625" style="16" hidden="1" customWidth="1"/>
    <col min="6" max="6" width="17.85546875" style="25" customWidth="1"/>
    <col min="7" max="7" width="13.7109375" style="24" customWidth="1"/>
    <col min="8" max="8" width="14.140625" style="24" customWidth="1"/>
    <col min="9" max="16384" width="9.140625" style="1"/>
  </cols>
  <sheetData>
    <row r="1" spans="1:8" ht="74.25" customHeight="1">
      <c r="A1" s="35" t="s">
        <v>97</v>
      </c>
      <c r="B1" s="35"/>
      <c r="C1" s="35"/>
      <c r="D1" s="35"/>
      <c r="E1" s="35"/>
      <c r="F1" s="35"/>
      <c r="G1" s="35"/>
      <c r="H1" s="35"/>
    </row>
    <row r="2" spans="1:8" ht="30.75" customHeight="1">
      <c r="A2" s="36" t="s">
        <v>0</v>
      </c>
      <c r="B2" s="36" t="s">
        <v>1</v>
      </c>
      <c r="C2" s="36" t="s">
        <v>2</v>
      </c>
      <c r="D2" s="38" t="s">
        <v>93</v>
      </c>
      <c r="E2" s="38"/>
      <c r="F2" s="38"/>
      <c r="G2" s="39" t="s">
        <v>94</v>
      </c>
      <c r="H2" s="39" t="s">
        <v>100</v>
      </c>
    </row>
    <row r="3" spans="1:8" ht="26.25" customHeight="1">
      <c r="A3" s="37"/>
      <c r="B3" s="37"/>
      <c r="C3" s="37"/>
      <c r="D3" s="38"/>
      <c r="E3" s="38"/>
      <c r="F3" s="38"/>
      <c r="G3" s="40"/>
      <c r="H3" s="40"/>
    </row>
    <row r="4" spans="1:8" ht="28.5">
      <c r="A4" s="2" t="s">
        <v>3</v>
      </c>
      <c r="B4" s="3" t="s">
        <v>4</v>
      </c>
      <c r="C4" s="2" t="s">
        <v>5</v>
      </c>
      <c r="D4" s="4">
        <f>D5+D12+D17+D18</f>
        <v>74645.81</v>
      </c>
      <c r="E4" s="4">
        <f>E5+E12+E17+E18</f>
        <v>82798.920895999996</v>
      </c>
      <c r="F4" s="4">
        <f>F5+F12+F17+F18</f>
        <v>141642.78</v>
      </c>
      <c r="G4" s="22">
        <f>G5+G12+G17+G18</f>
        <v>119877</v>
      </c>
      <c r="H4" s="22">
        <f>G4/F4*100</f>
        <v>84.633328998484785</v>
      </c>
    </row>
    <row r="5" spans="1:8">
      <c r="A5" s="2" t="s">
        <v>6</v>
      </c>
      <c r="B5" s="3" t="s">
        <v>7</v>
      </c>
      <c r="C5" s="2" t="s">
        <v>5</v>
      </c>
      <c r="D5" s="4">
        <f>D7+D8+D9+D10+D11</f>
        <v>13140</v>
      </c>
      <c r="E5" s="4">
        <f>E8+E7+E9+E10+E11</f>
        <v>12282.11</v>
      </c>
      <c r="F5" s="4">
        <f>F7+F8+F9+F10+F11+0.01</f>
        <v>23894.1</v>
      </c>
      <c r="G5" s="22">
        <f>G7+G8+G9+G10+G11</f>
        <v>11458</v>
      </c>
      <c r="H5" s="22">
        <f t="shared" ref="H5:H53" si="0">G5/F5*100</f>
        <v>47.953260428306571</v>
      </c>
    </row>
    <row r="6" spans="1:8">
      <c r="A6" s="5"/>
      <c r="B6" s="3" t="s">
        <v>8</v>
      </c>
      <c r="C6" s="2"/>
      <c r="D6" s="6"/>
      <c r="E6" s="6"/>
      <c r="F6" s="6"/>
      <c r="G6" s="21"/>
      <c r="H6" s="22"/>
    </row>
    <row r="7" spans="1:8">
      <c r="A7" s="5" t="s">
        <v>9</v>
      </c>
      <c r="B7" s="7" t="s">
        <v>10</v>
      </c>
      <c r="C7" s="5" t="s">
        <v>5</v>
      </c>
      <c r="D7" s="6">
        <v>2391</v>
      </c>
      <c r="E7" s="6">
        <v>1552.39</v>
      </c>
      <c r="F7" s="6">
        <v>2981.21</v>
      </c>
      <c r="G7" s="21">
        <v>1515</v>
      </c>
      <c r="H7" s="22">
        <f t="shared" si="0"/>
        <v>50.818291901610422</v>
      </c>
    </row>
    <row r="8" spans="1:8">
      <c r="A8" s="5" t="s">
        <v>11</v>
      </c>
      <c r="B8" s="7" t="s">
        <v>12</v>
      </c>
      <c r="C8" s="5" t="s">
        <v>5</v>
      </c>
      <c r="D8" s="6">
        <v>45</v>
      </c>
      <c r="E8" s="6">
        <v>32.14</v>
      </c>
      <c r="F8" s="6">
        <v>95.01</v>
      </c>
      <c r="G8" s="21">
        <v>78</v>
      </c>
      <c r="H8" s="22">
        <f t="shared" si="0"/>
        <v>82.09662140827281</v>
      </c>
    </row>
    <row r="9" spans="1:8">
      <c r="A9" s="5" t="s">
        <v>13</v>
      </c>
      <c r="B9" s="8" t="s">
        <v>14</v>
      </c>
      <c r="C9" s="5" t="s">
        <v>5</v>
      </c>
      <c r="D9" s="6">
        <v>2446</v>
      </c>
      <c r="E9" s="6">
        <v>1962.38</v>
      </c>
      <c r="F9" s="6">
        <v>3426.46</v>
      </c>
      <c r="G9" s="21">
        <v>1284</v>
      </c>
      <c r="H9" s="22">
        <f t="shared" si="0"/>
        <v>37.473077170023871</v>
      </c>
    </row>
    <row r="10" spans="1:8">
      <c r="A10" s="5" t="s">
        <v>15</v>
      </c>
      <c r="B10" s="7" t="s">
        <v>16</v>
      </c>
      <c r="C10" s="5" t="s">
        <v>5</v>
      </c>
      <c r="D10" s="6">
        <v>4441</v>
      </c>
      <c r="E10" s="6">
        <f>3746.2</f>
        <v>3746.2</v>
      </c>
      <c r="F10" s="6">
        <v>9847.98</v>
      </c>
      <c r="G10" s="21">
        <v>4595</v>
      </c>
      <c r="H10" s="22">
        <f t="shared" si="0"/>
        <v>46.65931490518868</v>
      </c>
    </row>
    <row r="11" spans="1:8">
      <c r="A11" s="5" t="s">
        <v>17</v>
      </c>
      <c r="B11" s="7" t="s">
        <v>18</v>
      </c>
      <c r="C11" s="5" t="s">
        <v>5</v>
      </c>
      <c r="D11" s="6">
        <v>3817</v>
      </c>
      <c r="E11" s="6">
        <f>4989</f>
        <v>4989</v>
      </c>
      <c r="F11" s="6">
        <v>7543.43</v>
      </c>
      <c r="G11" s="21">
        <v>3986</v>
      </c>
      <c r="H11" s="22">
        <f t="shared" si="0"/>
        <v>52.840683879879577</v>
      </c>
    </row>
    <row r="12" spans="1:8">
      <c r="A12" s="2" t="s">
        <v>19</v>
      </c>
      <c r="B12" s="3" t="s">
        <v>20</v>
      </c>
      <c r="C12" s="2" t="s">
        <v>5</v>
      </c>
      <c r="D12" s="4">
        <f>D14+D15</f>
        <v>34277.81</v>
      </c>
      <c r="E12" s="4">
        <f>E14+E15</f>
        <v>43162.679896000001</v>
      </c>
      <c r="F12" s="4">
        <f>F14+F15+F16-0.01</f>
        <v>74642.28</v>
      </c>
      <c r="G12" s="22">
        <f>G14+G15+G16</f>
        <v>35415</v>
      </c>
      <c r="H12" s="22">
        <f t="shared" si="0"/>
        <v>47.446299871868867</v>
      </c>
    </row>
    <row r="13" spans="1:8">
      <c r="A13" s="5"/>
      <c r="B13" s="3" t="s">
        <v>8</v>
      </c>
      <c r="C13" s="5"/>
      <c r="D13" s="6"/>
      <c r="E13" s="6"/>
      <c r="F13" s="6"/>
      <c r="G13" s="21"/>
      <c r="H13" s="22"/>
    </row>
    <row r="14" spans="1:8">
      <c r="A14" s="9" t="s">
        <v>21</v>
      </c>
      <c r="B14" s="7" t="s">
        <v>22</v>
      </c>
      <c r="C14" s="5" t="s">
        <v>5</v>
      </c>
      <c r="D14" s="10">
        <v>31190</v>
      </c>
      <c r="E14" s="10">
        <f>10460.754+28813.75</f>
        <v>39274.504000000001</v>
      </c>
      <c r="F14" s="6">
        <v>67641.399999999994</v>
      </c>
      <c r="G14" s="26">
        <v>31839</v>
      </c>
      <c r="H14" s="22">
        <f t="shared" si="0"/>
        <v>47.070285357783845</v>
      </c>
    </row>
    <row r="15" spans="1:8">
      <c r="A15" s="5" t="s">
        <v>23</v>
      </c>
      <c r="B15" s="7" t="s">
        <v>24</v>
      </c>
      <c r="C15" s="5" t="s">
        <v>5</v>
      </c>
      <c r="D15" s="10">
        <v>3087.81</v>
      </c>
      <c r="E15" s="10">
        <f>E14*0.9*11%</f>
        <v>3888.1758959999997</v>
      </c>
      <c r="F15" s="6">
        <v>5783.34</v>
      </c>
      <c r="G15" s="26">
        <f>1035+1666</f>
        <v>2701</v>
      </c>
      <c r="H15" s="22">
        <f t="shared" si="0"/>
        <v>46.703116192373258</v>
      </c>
    </row>
    <row r="16" spans="1:8" ht="30">
      <c r="A16" s="5" t="s">
        <v>90</v>
      </c>
      <c r="B16" s="7" t="s">
        <v>89</v>
      </c>
      <c r="C16" s="5" t="s">
        <v>5</v>
      </c>
      <c r="D16" s="10"/>
      <c r="E16" s="10"/>
      <c r="F16" s="6">
        <v>1217.55</v>
      </c>
      <c r="G16" s="26">
        <v>875</v>
      </c>
      <c r="H16" s="22">
        <f t="shared" si="0"/>
        <v>71.865631801568725</v>
      </c>
    </row>
    <row r="17" spans="1:8">
      <c r="A17" s="2" t="s">
        <v>25</v>
      </c>
      <c r="B17" s="3" t="s">
        <v>26</v>
      </c>
      <c r="C17" s="2" t="s">
        <v>5</v>
      </c>
      <c r="D17" s="4">
        <v>24250</v>
      </c>
      <c r="E17" s="4">
        <f>24250+401</f>
        <v>24651</v>
      </c>
      <c r="F17" s="4">
        <v>38749.589999999997</v>
      </c>
      <c r="G17" s="22">
        <v>71681</v>
      </c>
      <c r="H17" s="22">
        <f t="shared" si="0"/>
        <v>184.98518306903378</v>
      </c>
    </row>
    <row r="18" spans="1:8">
      <c r="A18" s="2" t="s">
        <v>27</v>
      </c>
      <c r="B18" s="3" t="s">
        <v>28</v>
      </c>
      <c r="C18" s="2" t="s">
        <v>5</v>
      </c>
      <c r="D18" s="4">
        <f>D20+D21+D22+D23+D24+D25+D26</f>
        <v>2978</v>
      </c>
      <c r="E18" s="4">
        <f>E20+E21+E22+E23+E24+E25+E26+E27+E28</f>
        <v>2703.1310000000003</v>
      </c>
      <c r="F18" s="4">
        <f>F20+F21+F22+F23+F24+F25+F26+F27+F28-0.02</f>
        <v>4356.8099999999986</v>
      </c>
      <c r="G18" s="22">
        <f>G20+G21+G22+G23+G24+G25+G26+G27+G28</f>
        <v>1323</v>
      </c>
      <c r="H18" s="22">
        <f t="shared" si="0"/>
        <v>30.366254208928101</v>
      </c>
    </row>
    <row r="19" spans="1:8">
      <c r="A19" s="2"/>
      <c r="B19" s="3" t="s">
        <v>8</v>
      </c>
      <c r="C19" s="5"/>
      <c r="D19" s="4"/>
      <c r="E19" s="4"/>
      <c r="F19" s="6"/>
      <c r="G19" s="22"/>
      <c r="H19" s="22"/>
    </row>
    <row r="20" spans="1:8" ht="30">
      <c r="A20" s="5" t="s">
        <v>29</v>
      </c>
      <c r="B20" s="7" t="s">
        <v>30</v>
      </c>
      <c r="C20" s="5" t="s">
        <v>5</v>
      </c>
      <c r="D20" s="6">
        <v>500</v>
      </c>
      <c r="E20" s="6">
        <f>399.99</f>
        <v>399.99</v>
      </c>
      <c r="F20" s="6">
        <v>537.16999999999996</v>
      </c>
      <c r="G20" s="21">
        <v>248</v>
      </c>
      <c r="H20" s="22">
        <f t="shared" si="0"/>
        <v>46.167879814583841</v>
      </c>
    </row>
    <row r="21" spans="1:8">
      <c r="A21" s="5" t="s">
        <v>31</v>
      </c>
      <c r="B21" s="7" t="s">
        <v>32</v>
      </c>
      <c r="C21" s="5" t="s">
        <v>5</v>
      </c>
      <c r="D21" s="6">
        <v>396</v>
      </c>
      <c r="E21" s="6">
        <f>396</f>
        <v>396</v>
      </c>
      <c r="F21" s="6">
        <v>956.92</v>
      </c>
      <c r="G21" s="21">
        <f>17+219</f>
        <v>236</v>
      </c>
      <c r="H21" s="22">
        <f t="shared" si="0"/>
        <v>24.662458721732225</v>
      </c>
    </row>
    <row r="22" spans="1:8">
      <c r="A22" s="5" t="s">
        <v>33</v>
      </c>
      <c r="B22" s="7" t="s">
        <v>34</v>
      </c>
      <c r="C22" s="5" t="s">
        <v>5</v>
      </c>
      <c r="D22" s="6">
        <v>96</v>
      </c>
      <c r="E22" s="6">
        <f>194.461</f>
        <v>194.46100000000001</v>
      </c>
      <c r="F22" s="6">
        <v>135.63</v>
      </c>
      <c r="G22" s="21">
        <f>75+36</f>
        <v>111</v>
      </c>
      <c r="H22" s="22">
        <f t="shared" si="0"/>
        <v>81.840300818403009</v>
      </c>
    </row>
    <row r="23" spans="1:8">
      <c r="A23" s="5" t="s">
        <v>35</v>
      </c>
      <c r="B23" s="7" t="s">
        <v>87</v>
      </c>
      <c r="C23" s="5" t="s">
        <v>5</v>
      </c>
      <c r="D23" s="6">
        <v>182</v>
      </c>
      <c r="E23" s="6">
        <v>210.2</v>
      </c>
      <c r="F23" s="6">
        <v>372.6</v>
      </c>
      <c r="G23" s="21">
        <f>44+64</f>
        <v>108</v>
      </c>
      <c r="H23" s="22">
        <f t="shared" si="0"/>
        <v>28.985507246376805</v>
      </c>
    </row>
    <row r="24" spans="1:8" ht="30">
      <c r="A24" s="5" t="s">
        <v>36</v>
      </c>
      <c r="B24" s="7" t="s">
        <v>88</v>
      </c>
      <c r="C24" s="5" t="s">
        <v>5</v>
      </c>
      <c r="D24" s="6">
        <f>936+571</f>
        <v>1507</v>
      </c>
      <c r="E24" s="6">
        <f>603.48+271.37</f>
        <v>874.85</v>
      </c>
      <c r="F24" s="6">
        <v>1312.25</v>
      </c>
      <c r="G24" s="21">
        <v>564</v>
      </c>
      <c r="H24" s="22">
        <f t="shared" si="0"/>
        <v>42.979615164793294</v>
      </c>
    </row>
    <row r="25" spans="1:8">
      <c r="A25" s="5" t="s">
        <v>37</v>
      </c>
      <c r="B25" s="7" t="s">
        <v>38</v>
      </c>
      <c r="C25" s="5" t="s">
        <v>5</v>
      </c>
      <c r="D25" s="6">
        <v>281</v>
      </c>
      <c r="E25" s="6">
        <f>257.8</f>
        <v>257.8</v>
      </c>
      <c r="F25" s="6">
        <v>711.05</v>
      </c>
      <c r="G25" s="21">
        <v>8</v>
      </c>
      <c r="H25" s="22">
        <f t="shared" si="0"/>
        <v>1.1250966879966249</v>
      </c>
    </row>
    <row r="26" spans="1:8">
      <c r="A26" s="5" t="s">
        <v>39</v>
      </c>
      <c r="B26" s="7" t="s">
        <v>40</v>
      </c>
      <c r="C26" s="5" t="s">
        <v>5</v>
      </c>
      <c r="D26" s="10">
        <v>16</v>
      </c>
      <c r="E26" s="10">
        <v>18.190000000000001</v>
      </c>
      <c r="F26" s="6">
        <v>27.95</v>
      </c>
      <c r="G26" s="21">
        <v>0</v>
      </c>
      <c r="H26" s="22">
        <f t="shared" si="0"/>
        <v>0</v>
      </c>
    </row>
    <row r="27" spans="1:8" ht="30">
      <c r="A27" s="5" t="s">
        <v>41</v>
      </c>
      <c r="B27" s="7" t="s">
        <v>42</v>
      </c>
      <c r="C27" s="5" t="s">
        <v>5</v>
      </c>
      <c r="D27" s="6"/>
      <c r="E27" s="6">
        <f>169.64</f>
        <v>169.64</v>
      </c>
      <c r="F27" s="6">
        <v>144.9</v>
      </c>
      <c r="G27" s="21">
        <v>0</v>
      </c>
      <c r="H27" s="22">
        <f t="shared" si="0"/>
        <v>0</v>
      </c>
    </row>
    <row r="28" spans="1:8" ht="30">
      <c r="A28" s="5" t="s">
        <v>43</v>
      </c>
      <c r="B28" s="7" t="s">
        <v>44</v>
      </c>
      <c r="C28" s="5" t="s">
        <v>5</v>
      </c>
      <c r="D28" s="6"/>
      <c r="E28" s="6">
        <f>182</f>
        <v>182</v>
      </c>
      <c r="F28" s="6">
        <v>158.36000000000001</v>
      </c>
      <c r="G28" s="21">
        <v>48</v>
      </c>
      <c r="H28" s="22">
        <f t="shared" si="0"/>
        <v>30.310684516291992</v>
      </c>
    </row>
    <row r="29" spans="1:8">
      <c r="A29" s="2" t="s">
        <v>45</v>
      </c>
      <c r="B29" s="3" t="s">
        <v>46</v>
      </c>
      <c r="C29" s="2" t="s">
        <v>5</v>
      </c>
      <c r="D29" s="4" t="e">
        <f>D31</f>
        <v>#REF!</v>
      </c>
      <c r="E29" s="4" t="e">
        <f>E31</f>
        <v>#REF!</v>
      </c>
      <c r="F29" s="4">
        <f>F31</f>
        <v>27955.740000000005</v>
      </c>
      <c r="G29" s="22">
        <f>G31</f>
        <v>14273</v>
      </c>
      <c r="H29" s="22">
        <f t="shared" si="0"/>
        <v>51.055704481441012</v>
      </c>
    </row>
    <row r="30" spans="1:8">
      <c r="A30" s="2"/>
      <c r="B30" s="3" t="s">
        <v>8</v>
      </c>
      <c r="C30" s="5"/>
      <c r="D30" s="4"/>
      <c r="E30" s="4"/>
      <c r="F30" s="6"/>
      <c r="G30" s="22"/>
      <c r="H30" s="22"/>
    </row>
    <row r="31" spans="1:8">
      <c r="A31" s="5" t="s">
        <v>47</v>
      </c>
      <c r="B31" s="7" t="s">
        <v>48</v>
      </c>
      <c r="C31" s="5" t="s">
        <v>5</v>
      </c>
      <c r="D31" s="6" t="e">
        <f>D33+D34+D36+D37+D38+D39+D40+D41+D45+D47+#REF!</f>
        <v>#REF!</v>
      </c>
      <c r="E31" s="6" t="e">
        <f>E33+E34+E36+E37+E38+E39+E40+E42+E43+E44+E45+E46++#REF!+E41+E47</f>
        <v>#REF!</v>
      </c>
      <c r="F31" s="6">
        <f>F33+F34+F35+F36+F37+F38+F39+F40+F41+F42+F43+F44+F45+F46+F47-0.03</f>
        <v>27955.740000000005</v>
      </c>
      <c r="G31" s="21">
        <f>G33+G34+G36+G37+G38+G39+G40+G41+G42+G43+G44+G45+G46+G47+G35</f>
        <v>14273</v>
      </c>
      <c r="H31" s="22">
        <f t="shared" si="0"/>
        <v>51.055704481441012</v>
      </c>
    </row>
    <row r="32" spans="1:8">
      <c r="A32" s="11"/>
      <c r="B32" s="7" t="s">
        <v>8</v>
      </c>
      <c r="C32" s="5"/>
      <c r="D32" s="6"/>
      <c r="E32" s="6"/>
      <c r="F32" s="6"/>
      <c r="G32" s="21"/>
      <c r="H32" s="22"/>
    </row>
    <row r="33" spans="1:8" s="14" customFormat="1" ht="30">
      <c r="A33" s="5" t="s">
        <v>49</v>
      </c>
      <c r="B33" s="7" t="s">
        <v>50</v>
      </c>
      <c r="C33" s="5" t="s">
        <v>5</v>
      </c>
      <c r="D33" s="12">
        <v>8309.7000000000007</v>
      </c>
      <c r="E33" s="12">
        <v>11051.9</v>
      </c>
      <c r="F33" s="13">
        <v>16604.52</v>
      </c>
      <c r="G33" s="27">
        <v>8062</v>
      </c>
      <c r="H33" s="22">
        <f t="shared" si="0"/>
        <v>48.553044592677175</v>
      </c>
    </row>
    <row r="34" spans="1:8" s="14" customFormat="1">
      <c r="A34" s="5" t="s">
        <v>51</v>
      </c>
      <c r="B34" s="7" t="s">
        <v>24</v>
      </c>
      <c r="C34" s="5" t="s">
        <v>5</v>
      </c>
      <c r="D34" s="13">
        <v>822.66</v>
      </c>
      <c r="E34" s="13">
        <f>E33*0.9*0.11</f>
        <v>1094.1380999999999</v>
      </c>
      <c r="F34" s="13">
        <v>1419.69</v>
      </c>
      <c r="G34" s="23">
        <f>258+424</f>
        <v>682</v>
      </c>
      <c r="H34" s="22">
        <f t="shared" si="0"/>
        <v>48.038656326381108</v>
      </c>
    </row>
    <row r="35" spans="1:8" s="14" customFormat="1" ht="30">
      <c r="A35" s="9" t="s">
        <v>52</v>
      </c>
      <c r="B35" s="7" t="s">
        <v>89</v>
      </c>
      <c r="C35" s="5" t="s">
        <v>5</v>
      </c>
      <c r="D35" s="13"/>
      <c r="E35" s="13"/>
      <c r="F35" s="13">
        <v>298.88</v>
      </c>
      <c r="G35" s="23">
        <v>226</v>
      </c>
      <c r="H35" s="22">
        <f t="shared" si="0"/>
        <v>75.615631691648815</v>
      </c>
    </row>
    <row r="36" spans="1:8">
      <c r="A36" s="9" t="s">
        <v>54</v>
      </c>
      <c r="B36" s="7" t="s">
        <v>53</v>
      </c>
      <c r="C36" s="5" t="s">
        <v>5</v>
      </c>
      <c r="D36" s="6">
        <v>864</v>
      </c>
      <c r="E36" s="6">
        <v>500</v>
      </c>
      <c r="F36" s="6">
        <v>917.01</v>
      </c>
      <c r="G36" s="21">
        <f>1+118</f>
        <v>119</v>
      </c>
      <c r="H36" s="22">
        <f t="shared" si="0"/>
        <v>12.976957721289844</v>
      </c>
    </row>
    <row r="37" spans="1:8">
      <c r="A37" s="9" t="s">
        <v>55</v>
      </c>
      <c r="B37" s="7" t="s">
        <v>26</v>
      </c>
      <c r="C37" s="5" t="s">
        <v>5</v>
      </c>
      <c r="D37" s="6">
        <v>961</v>
      </c>
      <c r="E37" s="6">
        <v>560</v>
      </c>
      <c r="F37" s="6">
        <v>840.41</v>
      </c>
      <c r="G37" s="21">
        <v>828</v>
      </c>
      <c r="H37" s="22">
        <f t="shared" si="0"/>
        <v>98.523339798431721</v>
      </c>
    </row>
    <row r="38" spans="1:8" ht="30">
      <c r="A38" s="5" t="s">
        <v>57</v>
      </c>
      <c r="B38" s="7" t="s">
        <v>56</v>
      </c>
      <c r="C38" s="5" t="s">
        <v>5</v>
      </c>
      <c r="D38" s="6">
        <v>83</v>
      </c>
      <c r="E38" s="6">
        <v>88.81</v>
      </c>
      <c r="F38" s="6">
        <v>131.44999999999999</v>
      </c>
      <c r="G38" s="21">
        <v>115</v>
      </c>
      <c r="H38" s="22">
        <f t="shared" si="0"/>
        <v>87.48573602130088</v>
      </c>
    </row>
    <row r="39" spans="1:8">
      <c r="A39" s="9" t="s">
        <v>58</v>
      </c>
      <c r="B39" s="7" t="s">
        <v>87</v>
      </c>
      <c r="C39" s="5" t="s">
        <v>5</v>
      </c>
      <c r="D39" s="6">
        <v>22</v>
      </c>
      <c r="E39" s="6">
        <f>10.94</f>
        <v>10.94</v>
      </c>
      <c r="F39" s="6">
        <v>75.56</v>
      </c>
      <c r="G39" s="21">
        <f>11</f>
        <v>11</v>
      </c>
      <c r="H39" s="22">
        <f t="shared" si="0"/>
        <v>14.55796717840127</v>
      </c>
    </row>
    <row r="40" spans="1:8">
      <c r="A40" s="9" t="s">
        <v>60</v>
      </c>
      <c r="B40" s="7" t="s">
        <v>59</v>
      </c>
      <c r="C40" s="5" t="s">
        <v>5</v>
      </c>
      <c r="D40" s="6">
        <v>131</v>
      </c>
      <c r="E40" s="6">
        <f>131</f>
        <v>131</v>
      </c>
      <c r="F40" s="6">
        <v>202.36</v>
      </c>
      <c r="G40" s="21">
        <v>111</v>
      </c>
      <c r="H40" s="22">
        <f t="shared" si="0"/>
        <v>54.852737695196673</v>
      </c>
    </row>
    <row r="41" spans="1:8">
      <c r="A41" s="9" t="s">
        <v>62</v>
      </c>
      <c r="B41" s="7" t="s">
        <v>61</v>
      </c>
      <c r="C41" s="5" t="s">
        <v>5</v>
      </c>
      <c r="D41" s="6">
        <v>1674</v>
      </c>
      <c r="E41" s="6">
        <f>4976</f>
        <v>4976</v>
      </c>
      <c r="F41" s="6">
        <v>3544.88</v>
      </c>
      <c r="G41" s="21">
        <f>14+68+1094+477+82+6</f>
        <v>1741</v>
      </c>
      <c r="H41" s="22">
        <f t="shared" si="0"/>
        <v>49.113087043849156</v>
      </c>
    </row>
    <row r="42" spans="1:8">
      <c r="A42" s="9" t="s">
        <v>63</v>
      </c>
      <c r="B42" s="7" t="s">
        <v>83</v>
      </c>
      <c r="C42" s="5" t="s">
        <v>5</v>
      </c>
      <c r="D42" s="6"/>
      <c r="E42" s="6">
        <v>1100</v>
      </c>
      <c r="F42" s="6">
        <v>1596.1</v>
      </c>
      <c r="G42" s="21">
        <f>6+548+239+9</f>
        <v>802</v>
      </c>
      <c r="H42" s="22">
        <f t="shared" si="0"/>
        <v>50.247478228181194</v>
      </c>
    </row>
    <row r="43" spans="1:8">
      <c r="A43" s="9" t="s">
        <v>65</v>
      </c>
      <c r="B43" s="7" t="s">
        <v>64</v>
      </c>
      <c r="C43" s="5" t="s">
        <v>5</v>
      </c>
      <c r="D43" s="6"/>
      <c r="E43" s="6">
        <f>55</f>
        <v>55</v>
      </c>
      <c r="F43" s="6">
        <v>133.52000000000001</v>
      </c>
      <c r="G43" s="21">
        <f>128+12</f>
        <v>140</v>
      </c>
      <c r="H43" s="22">
        <f t="shared" si="0"/>
        <v>104.85320551228278</v>
      </c>
    </row>
    <row r="44" spans="1:8">
      <c r="A44" s="9" t="s">
        <v>67</v>
      </c>
      <c r="B44" s="7" t="s">
        <v>66</v>
      </c>
      <c r="C44" s="5" t="s">
        <v>5</v>
      </c>
      <c r="D44" s="6"/>
      <c r="E44" s="6">
        <v>380</v>
      </c>
      <c r="F44" s="6">
        <v>541.4</v>
      </c>
      <c r="G44" s="21">
        <f>42+172+12+12</f>
        <v>238</v>
      </c>
      <c r="H44" s="22">
        <f t="shared" si="0"/>
        <v>43.960103435537498</v>
      </c>
    </row>
    <row r="45" spans="1:8" ht="30">
      <c r="A45" s="9" t="s">
        <v>69</v>
      </c>
      <c r="B45" s="7" t="s">
        <v>68</v>
      </c>
      <c r="C45" s="5" t="s">
        <v>5</v>
      </c>
      <c r="D45" s="6">
        <v>1255</v>
      </c>
      <c r="E45" s="6">
        <v>1263</v>
      </c>
      <c r="F45" s="6">
        <v>1239.32</v>
      </c>
      <c r="G45" s="21">
        <f>569+374</f>
        <v>943</v>
      </c>
      <c r="H45" s="22">
        <f t="shared" si="0"/>
        <v>76.090113933447384</v>
      </c>
    </row>
    <row r="46" spans="1:8" ht="45">
      <c r="A46" s="9" t="s">
        <v>71</v>
      </c>
      <c r="B46" s="7" t="s">
        <v>70</v>
      </c>
      <c r="C46" s="5" t="s">
        <v>5</v>
      </c>
      <c r="D46" s="6"/>
      <c r="E46" s="6">
        <v>206.14</v>
      </c>
      <c r="F46" s="6">
        <v>309.24</v>
      </c>
      <c r="G46" s="21">
        <v>190</v>
      </c>
      <c r="H46" s="22">
        <f t="shared" si="0"/>
        <v>61.440952011382741</v>
      </c>
    </row>
    <row r="47" spans="1:8">
      <c r="A47" s="9" t="s">
        <v>72</v>
      </c>
      <c r="B47" s="7" t="s">
        <v>34</v>
      </c>
      <c r="C47" s="5" t="s">
        <v>5</v>
      </c>
      <c r="D47" s="6">
        <v>107</v>
      </c>
      <c r="E47" s="6">
        <v>100</v>
      </c>
      <c r="F47" s="6">
        <v>101.43</v>
      </c>
      <c r="G47" s="21">
        <v>65</v>
      </c>
      <c r="H47" s="22">
        <f t="shared" si="0"/>
        <v>64.083604456275253</v>
      </c>
    </row>
    <row r="48" spans="1:8">
      <c r="A48" s="2" t="s">
        <v>73</v>
      </c>
      <c r="B48" s="3" t="s">
        <v>74</v>
      </c>
      <c r="C48" s="2" t="s">
        <v>5</v>
      </c>
      <c r="D48" s="4" t="e">
        <f>D4+D29</f>
        <v>#REF!</v>
      </c>
      <c r="E48" s="4" t="e">
        <f>E4+E29</f>
        <v>#REF!</v>
      </c>
      <c r="F48" s="4">
        <f>F4+F29</f>
        <v>169598.52000000002</v>
      </c>
      <c r="G48" s="22">
        <f>G4+G29</f>
        <v>134150</v>
      </c>
      <c r="H48" s="22">
        <f t="shared" si="0"/>
        <v>79.098567605424847</v>
      </c>
    </row>
    <row r="49" spans="1:8">
      <c r="A49" s="2" t="s">
        <v>75</v>
      </c>
      <c r="B49" s="3" t="s">
        <v>76</v>
      </c>
      <c r="C49" s="2" t="s">
        <v>5</v>
      </c>
      <c r="D49" s="6">
        <v>4017</v>
      </c>
      <c r="E49" s="6">
        <v>681.85</v>
      </c>
      <c r="F49" s="6">
        <v>0</v>
      </c>
      <c r="G49" s="22">
        <f>G50-G48-G51</f>
        <v>-72910</v>
      </c>
      <c r="H49" s="22"/>
    </row>
    <row r="50" spans="1:8">
      <c r="A50" s="2" t="s">
        <v>91</v>
      </c>
      <c r="B50" s="3" t="s">
        <v>77</v>
      </c>
      <c r="C50" s="2" t="s">
        <v>5</v>
      </c>
      <c r="D50" s="4" t="e">
        <f>D48+D49</f>
        <v>#REF!</v>
      </c>
      <c r="E50" s="4" t="e">
        <f>E49+E48</f>
        <v>#REF!</v>
      </c>
      <c r="F50" s="4">
        <f>SUM(F48:F49)</f>
        <v>169598.52000000002</v>
      </c>
      <c r="G50" s="4">
        <v>95285</v>
      </c>
      <c r="H50" s="22">
        <f t="shared" si="0"/>
        <v>56.182683669645229</v>
      </c>
    </row>
    <row r="51" spans="1:8" ht="42.75">
      <c r="A51" s="2" t="s">
        <v>92</v>
      </c>
      <c r="B51" s="3" t="s">
        <v>98</v>
      </c>
      <c r="C51" s="2" t="s">
        <v>5</v>
      </c>
      <c r="D51" s="4"/>
      <c r="E51" s="4"/>
      <c r="F51" s="4">
        <v>0</v>
      </c>
      <c r="G51" s="22">
        <v>34045</v>
      </c>
      <c r="H51" s="22"/>
    </row>
    <row r="52" spans="1:8">
      <c r="A52" s="2" t="s">
        <v>79</v>
      </c>
      <c r="B52" s="3" t="s">
        <v>78</v>
      </c>
      <c r="C52" s="2" t="s">
        <v>81</v>
      </c>
      <c r="D52" s="4">
        <v>170</v>
      </c>
      <c r="E52" s="4">
        <v>175.86799999999999</v>
      </c>
      <c r="F52" s="4">
        <v>225</v>
      </c>
      <c r="G52" s="28">
        <v>129.57069999999999</v>
      </c>
      <c r="H52" s="22">
        <f t="shared" si="0"/>
        <v>57.586977777777768</v>
      </c>
    </row>
    <row r="53" spans="1:8" ht="28.5" customHeight="1">
      <c r="A53" s="2" t="s">
        <v>99</v>
      </c>
      <c r="B53" s="3" t="s">
        <v>82</v>
      </c>
      <c r="C53" s="2" t="s">
        <v>80</v>
      </c>
      <c r="D53" s="4">
        <v>547.55999999999995</v>
      </c>
      <c r="E53" s="4" t="e">
        <f>E50/E52</f>
        <v>#REF!</v>
      </c>
      <c r="F53" s="4">
        <v>753.77</v>
      </c>
      <c r="G53" s="4">
        <v>735.39</v>
      </c>
      <c r="H53" s="22">
        <f t="shared" si="0"/>
        <v>97.56159040556139</v>
      </c>
    </row>
    <row r="54" spans="1:8" ht="28.5" customHeight="1">
      <c r="A54" s="31"/>
      <c r="B54" s="17"/>
      <c r="C54" s="31"/>
      <c r="D54" s="32"/>
      <c r="E54" s="32"/>
      <c r="F54" s="32"/>
      <c r="G54" s="32"/>
      <c r="H54" s="33"/>
    </row>
    <row r="55" spans="1:8">
      <c r="B55" s="17" t="s">
        <v>95</v>
      </c>
      <c r="D55" s="18"/>
      <c r="E55" s="18"/>
      <c r="F55" s="19" t="s">
        <v>96</v>
      </c>
    </row>
    <row r="56" spans="1:8">
      <c r="B56" s="17" t="s">
        <v>84</v>
      </c>
      <c r="F56" s="19" t="s">
        <v>85</v>
      </c>
    </row>
    <row r="57" spans="1:8">
      <c r="B57" s="29"/>
    </row>
    <row r="58" spans="1:8">
      <c r="A58" s="20" t="s">
        <v>86</v>
      </c>
    </row>
    <row r="59" spans="1:8">
      <c r="A59" s="34">
        <v>87114021455</v>
      </c>
      <c r="B59" s="34"/>
    </row>
  </sheetData>
  <mergeCells count="8">
    <mergeCell ref="A59:B59"/>
    <mergeCell ref="A1:H1"/>
    <mergeCell ref="A2:A3"/>
    <mergeCell ref="B2:B3"/>
    <mergeCell ref="C2:C3"/>
    <mergeCell ref="D2:F3"/>
    <mergeCell ref="G2:G3"/>
    <mergeCell ref="H2:H3"/>
  </mergeCells>
  <pageMargins left="0.70866141732283472" right="0.31" top="0.56000000000000005" bottom="0.74803149606299213" header="0.31496062992125984" footer="0.31496062992125984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selection activeCell="B6" sqref="B6"/>
    </sheetView>
  </sheetViews>
  <sheetFormatPr defaultRowHeight="15"/>
  <cols>
    <col min="1" max="1" width="7.5703125" style="15" customWidth="1"/>
    <col min="2" max="2" width="41.85546875" style="1" customWidth="1"/>
    <col min="3" max="3" width="12.28515625" style="1" customWidth="1"/>
    <col min="4" max="4" width="0.140625" style="16" hidden="1" customWidth="1"/>
    <col min="5" max="5" width="11.28515625" style="16" hidden="1" customWidth="1"/>
    <col min="6" max="6" width="19.42578125" style="25" customWidth="1"/>
    <col min="7" max="7" width="13.7109375" style="24" customWidth="1"/>
    <col min="8" max="8" width="14.140625" style="24" customWidth="1"/>
    <col min="9" max="16384" width="9.140625" style="1"/>
  </cols>
  <sheetData>
    <row r="1" spans="1:8" ht="71.25" customHeight="1">
      <c r="A1" s="35" t="s">
        <v>101</v>
      </c>
      <c r="B1" s="35"/>
      <c r="C1" s="35"/>
      <c r="D1" s="35"/>
      <c r="E1" s="35"/>
      <c r="F1" s="35"/>
      <c r="G1" s="35"/>
      <c r="H1" s="35"/>
    </row>
    <row r="2" spans="1:8" ht="30.75" customHeight="1">
      <c r="A2" s="36" t="s">
        <v>102</v>
      </c>
      <c r="B2" s="36" t="s">
        <v>103</v>
      </c>
      <c r="C2" s="36" t="s">
        <v>104</v>
      </c>
      <c r="D2" s="38" t="s">
        <v>105</v>
      </c>
      <c r="E2" s="38"/>
      <c r="F2" s="38"/>
      <c r="G2" s="39" t="s">
        <v>106</v>
      </c>
      <c r="H2" s="39" t="s">
        <v>107</v>
      </c>
    </row>
    <row r="3" spans="1:8" ht="33" customHeight="1">
      <c r="A3" s="37"/>
      <c r="B3" s="37"/>
      <c r="C3" s="37"/>
      <c r="D3" s="38"/>
      <c r="E3" s="38"/>
      <c r="F3" s="38"/>
      <c r="G3" s="40"/>
      <c r="H3" s="40"/>
    </row>
    <row r="4" spans="1:8" ht="42.75">
      <c r="A4" s="2" t="s">
        <v>3</v>
      </c>
      <c r="B4" s="3" t="s">
        <v>108</v>
      </c>
      <c r="C4" s="2" t="s">
        <v>109</v>
      </c>
      <c r="D4" s="4" t="e">
        <f>D5+D6+D7+D8</f>
        <v>#REF!</v>
      </c>
      <c r="E4" s="4" t="e">
        <f>E5+E6+E7+E8</f>
        <v>#REF!</v>
      </c>
      <c r="F4" s="4">
        <f>F5+F6+F7+F8</f>
        <v>141642.78</v>
      </c>
      <c r="G4" s="4">
        <f>G5+G6+G7+G8</f>
        <v>119877</v>
      </c>
      <c r="H4" s="22">
        <f>G4/F4*100</f>
        <v>84.633328998484785</v>
      </c>
    </row>
    <row r="5" spans="1:8">
      <c r="A5" s="5" t="s">
        <v>6</v>
      </c>
      <c r="B5" s="7" t="s">
        <v>110</v>
      </c>
      <c r="C5" s="5" t="s">
        <v>109</v>
      </c>
      <c r="D5" s="6" t="e">
        <f>#REF!+#REF!+#REF!+#REF!+#REF!</f>
        <v>#REF!</v>
      </c>
      <c r="E5" s="6" t="e">
        <f>#REF!+#REF!+#REF!+#REF!+#REF!</f>
        <v>#REF!</v>
      </c>
      <c r="F5" s="6">
        <v>23894.1</v>
      </c>
      <c r="G5" s="21">
        <v>11458</v>
      </c>
      <c r="H5" s="22">
        <f t="shared" ref="H5:H26" si="0">G5/F5*100</f>
        <v>47.953260428306571</v>
      </c>
    </row>
    <row r="6" spans="1:8" ht="30">
      <c r="A6" s="5" t="s">
        <v>19</v>
      </c>
      <c r="B6" s="7" t="s">
        <v>111</v>
      </c>
      <c r="C6" s="5" t="s">
        <v>109</v>
      </c>
      <c r="D6" s="6" t="e">
        <f>#REF!+#REF!</f>
        <v>#REF!</v>
      </c>
      <c r="E6" s="6" t="e">
        <f>#REF!+#REF!</f>
        <v>#REF!</v>
      </c>
      <c r="F6" s="6">
        <v>74642.28</v>
      </c>
      <c r="G6" s="21">
        <v>35415</v>
      </c>
      <c r="H6" s="22">
        <f t="shared" si="0"/>
        <v>47.446299871868867</v>
      </c>
    </row>
    <row r="7" spans="1:8">
      <c r="A7" s="5" t="s">
        <v>25</v>
      </c>
      <c r="B7" s="7" t="s">
        <v>112</v>
      </c>
      <c r="C7" s="5" t="s">
        <v>109</v>
      </c>
      <c r="D7" s="6">
        <v>24250</v>
      </c>
      <c r="E7" s="6">
        <f>24250+401</f>
        <v>24651</v>
      </c>
      <c r="F7" s="6">
        <v>38749.589999999997</v>
      </c>
      <c r="G7" s="21">
        <v>71681</v>
      </c>
      <c r="H7" s="22">
        <f t="shared" si="0"/>
        <v>184.98518306903378</v>
      </c>
    </row>
    <row r="8" spans="1:8" ht="45">
      <c r="A8" s="5" t="s">
        <v>27</v>
      </c>
      <c r="B8" s="7" t="s">
        <v>113</v>
      </c>
      <c r="C8" s="5" t="s">
        <v>109</v>
      </c>
      <c r="D8" s="6" t="e">
        <f>#REF!+#REF!+#REF!+#REF!+#REF!+#REF!+#REF!</f>
        <v>#REF!</v>
      </c>
      <c r="E8" s="6" t="e">
        <f>#REF!+#REF!+#REF!+#REF!+#REF!+#REF!+#REF!+#REF!+#REF!</f>
        <v>#REF!</v>
      </c>
      <c r="F8" s="6">
        <v>4356.8100000000004</v>
      </c>
      <c r="G8" s="21">
        <v>1323</v>
      </c>
      <c r="H8" s="22">
        <f t="shared" si="0"/>
        <v>30.36625420892809</v>
      </c>
    </row>
    <row r="9" spans="1:8">
      <c r="A9" s="2" t="s">
        <v>45</v>
      </c>
      <c r="B9" s="3" t="s">
        <v>114</v>
      </c>
      <c r="C9" s="2" t="s">
        <v>109</v>
      </c>
      <c r="D9" s="4" t="e">
        <f>D10</f>
        <v>#REF!</v>
      </c>
      <c r="E9" s="4" t="e">
        <f>E10</f>
        <v>#REF!</v>
      </c>
      <c r="F9" s="4">
        <f>F10</f>
        <v>27955.77</v>
      </c>
      <c r="G9" s="22">
        <f>G10</f>
        <v>14273</v>
      </c>
      <c r="H9" s="22">
        <f t="shared" si="0"/>
        <v>51.055649692353313</v>
      </c>
    </row>
    <row r="10" spans="1:8">
      <c r="A10" s="5">
        <v>6</v>
      </c>
      <c r="B10" s="7" t="s">
        <v>115</v>
      </c>
      <c r="C10" s="5" t="s">
        <v>109</v>
      </c>
      <c r="D10" s="6" t="e">
        <f>D12+#REF!+#REF!+D14+#REF!+#REF!+D18+D13+D17+#REF!+#REF!</f>
        <v>#REF!</v>
      </c>
      <c r="E10" s="6" t="e">
        <f>E12+#REF!+#REF!+E14+#REF!+#REF!+E18+E16+#REF!+#REF!+E17+E15++#REF!+E13+#REF!</f>
        <v>#REF!</v>
      </c>
      <c r="F10" s="6">
        <f>F12+F13+F14+F15+F16+F17+F18</f>
        <v>27955.77</v>
      </c>
      <c r="G10" s="6">
        <f>G12+G13+G14+G15+G16+G17+G18</f>
        <v>14273</v>
      </c>
      <c r="H10" s="22">
        <f t="shared" si="0"/>
        <v>51.055649692353313</v>
      </c>
    </row>
    <row r="11" spans="1:8">
      <c r="A11" s="11"/>
      <c r="B11" s="7" t="s">
        <v>116</v>
      </c>
      <c r="C11" s="5"/>
      <c r="D11" s="6"/>
      <c r="E11" s="6"/>
      <c r="F11" s="6"/>
      <c r="G11" s="21"/>
      <c r="H11" s="22"/>
    </row>
    <row r="12" spans="1:8" s="14" customFormat="1" ht="30">
      <c r="A12" s="11" t="s">
        <v>117</v>
      </c>
      <c r="B12" s="7" t="s">
        <v>118</v>
      </c>
      <c r="C12" s="5" t="s">
        <v>109</v>
      </c>
      <c r="D12" s="12">
        <v>8309.7000000000007</v>
      </c>
      <c r="E12" s="12">
        <v>11051.9</v>
      </c>
      <c r="F12" s="13">
        <f>16604.52+1419.69+298.88</f>
        <v>18323.09</v>
      </c>
      <c r="G12" s="27">
        <f>8062+682+226</f>
        <v>8970</v>
      </c>
      <c r="H12" s="22">
        <f t="shared" si="0"/>
        <v>48.954625011392729</v>
      </c>
    </row>
    <row r="13" spans="1:8">
      <c r="A13" s="9" t="s">
        <v>119</v>
      </c>
      <c r="B13" s="7" t="s">
        <v>120</v>
      </c>
      <c r="C13" s="5" t="s">
        <v>109</v>
      </c>
      <c r="D13" s="6">
        <v>1674</v>
      </c>
      <c r="E13" s="6">
        <f>4976</f>
        <v>4976</v>
      </c>
      <c r="F13" s="6">
        <v>3544.88</v>
      </c>
      <c r="G13" s="21">
        <v>1741</v>
      </c>
      <c r="H13" s="22">
        <f t="shared" si="0"/>
        <v>49.113087043849156</v>
      </c>
    </row>
    <row r="14" spans="1:8">
      <c r="A14" s="9" t="s">
        <v>121</v>
      </c>
      <c r="B14" s="7" t="s">
        <v>112</v>
      </c>
      <c r="C14" s="5" t="s">
        <v>109</v>
      </c>
      <c r="D14" s="6">
        <v>961</v>
      </c>
      <c r="E14" s="6">
        <v>560</v>
      </c>
      <c r="F14" s="6">
        <v>840.41</v>
      </c>
      <c r="G14" s="21">
        <v>828</v>
      </c>
      <c r="H14" s="22">
        <f t="shared" si="0"/>
        <v>98.523339798431721</v>
      </c>
    </row>
    <row r="15" spans="1:8" ht="30">
      <c r="A15" s="9" t="s">
        <v>122</v>
      </c>
      <c r="B15" s="7" t="s">
        <v>123</v>
      </c>
      <c r="C15" s="5" t="s">
        <v>109</v>
      </c>
      <c r="D15" s="6"/>
      <c r="E15" s="6">
        <v>206.14</v>
      </c>
      <c r="F15" s="6">
        <f>917.01+131.45+75.56+133.52+541.4+309.24+101.43</f>
        <v>2209.61</v>
      </c>
      <c r="G15" s="21">
        <f>119+115+11+140+238+190+65</f>
        <v>878</v>
      </c>
      <c r="H15" s="22">
        <f t="shared" si="0"/>
        <v>39.735518937731094</v>
      </c>
    </row>
    <row r="16" spans="1:8">
      <c r="A16" s="9" t="s">
        <v>124</v>
      </c>
      <c r="B16" s="7" t="s">
        <v>125</v>
      </c>
      <c r="C16" s="5" t="s">
        <v>109</v>
      </c>
      <c r="D16" s="6"/>
      <c r="E16" s="6">
        <v>1100</v>
      </c>
      <c r="F16" s="6">
        <v>1596.1</v>
      </c>
      <c r="G16" s="21">
        <v>802</v>
      </c>
      <c r="H16" s="22">
        <f t="shared" si="0"/>
        <v>50.247478228181194</v>
      </c>
    </row>
    <row r="17" spans="1:8" ht="30">
      <c r="A17" s="9" t="s">
        <v>126</v>
      </c>
      <c r="B17" s="7" t="s">
        <v>127</v>
      </c>
      <c r="C17" s="5" t="s">
        <v>109</v>
      </c>
      <c r="D17" s="6">
        <v>1255</v>
      </c>
      <c r="E17" s="6">
        <v>1263</v>
      </c>
      <c r="F17" s="6">
        <v>1239.32</v>
      </c>
      <c r="G17" s="21">
        <v>943</v>
      </c>
      <c r="H17" s="22">
        <f t="shared" si="0"/>
        <v>76.090113933447384</v>
      </c>
    </row>
    <row r="18" spans="1:8">
      <c r="A18" s="9" t="s">
        <v>128</v>
      </c>
      <c r="B18" s="7" t="s">
        <v>129</v>
      </c>
      <c r="C18" s="5" t="s">
        <v>109</v>
      </c>
      <c r="D18" s="6">
        <v>131</v>
      </c>
      <c r="E18" s="6">
        <f>131</f>
        <v>131</v>
      </c>
      <c r="F18" s="6">
        <v>202.36</v>
      </c>
      <c r="G18" s="21">
        <v>111</v>
      </c>
      <c r="H18" s="22">
        <f t="shared" si="0"/>
        <v>54.852737695196673</v>
      </c>
    </row>
    <row r="19" spans="1:8">
      <c r="A19" s="2" t="s">
        <v>73</v>
      </c>
      <c r="B19" s="3" t="s">
        <v>130</v>
      </c>
      <c r="C19" s="2" t="s">
        <v>109</v>
      </c>
      <c r="D19" s="4" t="e">
        <f>D4+D9</f>
        <v>#REF!</v>
      </c>
      <c r="E19" s="4" t="e">
        <f>E4+E9</f>
        <v>#REF!</v>
      </c>
      <c r="F19" s="4">
        <f>F4+F9</f>
        <v>169598.55</v>
      </c>
      <c r="G19" s="4">
        <f>G4+G9</f>
        <v>134150</v>
      </c>
      <c r="H19" s="22">
        <f t="shared" si="0"/>
        <v>79.098553613813323</v>
      </c>
    </row>
    <row r="20" spans="1:8">
      <c r="A20" s="2" t="s">
        <v>75</v>
      </c>
      <c r="B20" s="3" t="s">
        <v>131</v>
      </c>
      <c r="C20" s="2" t="s">
        <v>109</v>
      </c>
      <c r="D20" s="6">
        <v>4017</v>
      </c>
      <c r="E20" s="6">
        <v>681.85</v>
      </c>
      <c r="F20" s="4">
        <f>F19-F21</f>
        <v>0</v>
      </c>
      <c r="G20" s="22">
        <f>G21-G19-G22</f>
        <v>-72910</v>
      </c>
      <c r="H20" s="22"/>
    </row>
    <row r="21" spans="1:8">
      <c r="A21" s="2" t="s">
        <v>91</v>
      </c>
      <c r="B21" s="3" t="s">
        <v>132</v>
      </c>
      <c r="C21" s="2" t="s">
        <v>109</v>
      </c>
      <c r="D21" s="4" t="e">
        <f>D19+D20</f>
        <v>#REF!</v>
      </c>
      <c r="E21" s="4" t="e">
        <f>E20+E19</f>
        <v>#REF!</v>
      </c>
      <c r="F21" s="4">
        <f>F19</f>
        <v>169598.55</v>
      </c>
      <c r="G21" s="22">
        <v>95285</v>
      </c>
      <c r="H21" s="22">
        <f t="shared" si="0"/>
        <v>56.182673731585567</v>
      </c>
    </row>
    <row r="22" spans="1:8" ht="28.5">
      <c r="A22" s="2" t="s">
        <v>92</v>
      </c>
      <c r="B22" s="3" t="s">
        <v>133</v>
      </c>
      <c r="C22" s="2" t="s">
        <v>109</v>
      </c>
      <c r="D22" s="4"/>
      <c r="E22" s="4"/>
      <c r="F22" s="4">
        <v>0</v>
      </c>
      <c r="G22" s="22">
        <v>34045</v>
      </c>
      <c r="H22" s="22"/>
    </row>
    <row r="23" spans="1:8">
      <c r="A23" s="2" t="s">
        <v>79</v>
      </c>
      <c r="B23" s="3" t="s">
        <v>134</v>
      </c>
      <c r="C23" s="2" t="s">
        <v>135</v>
      </c>
      <c r="D23" s="4">
        <v>170</v>
      </c>
      <c r="E23" s="4">
        <v>175.86799999999999</v>
      </c>
      <c r="F23" s="4">
        <v>225</v>
      </c>
      <c r="G23" s="28">
        <v>129.571</v>
      </c>
      <c r="H23" s="22">
        <f t="shared" si="0"/>
        <v>57.587111111111113</v>
      </c>
    </row>
    <row r="24" spans="1:8">
      <c r="A24" s="36" t="s">
        <v>99</v>
      </c>
      <c r="B24" s="41" t="s">
        <v>136</v>
      </c>
      <c r="C24" s="2" t="s">
        <v>135</v>
      </c>
      <c r="D24" s="4"/>
      <c r="E24" s="4"/>
      <c r="F24" s="4">
        <v>27</v>
      </c>
      <c r="G24" s="28">
        <v>5.2229999999999999</v>
      </c>
      <c r="H24" s="22">
        <f t="shared" si="0"/>
        <v>19.344444444444445</v>
      </c>
    </row>
    <row r="25" spans="1:8">
      <c r="A25" s="37"/>
      <c r="B25" s="42"/>
      <c r="C25" s="2" t="s">
        <v>137</v>
      </c>
      <c r="D25" s="4"/>
      <c r="E25" s="4"/>
      <c r="F25" s="4">
        <v>12</v>
      </c>
      <c r="G25" s="28">
        <v>3.87</v>
      </c>
      <c r="H25" s="22">
        <f t="shared" si="0"/>
        <v>32.25</v>
      </c>
    </row>
    <row r="26" spans="1:8" ht="24" customHeight="1">
      <c r="A26" s="2" t="s">
        <v>138</v>
      </c>
      <c r="B26" s="3" t="s">
        <v>139</v>
      </c>
      <c r="C26" s="2" t="s">
        <v>140</v>
      </c>
      <c r="D26" s="4">
        <v>547.55999999999995</v>
      </c>
      <c r="E26" s="4" t="e">
        <f>E21/E23</f>
        <v>#REF!</v>
      </c>
      <c r="F26" s="4">
        <v>753.77</v>
      </c>
      <c r="G26" s="4">
        <v>735.39</v>
      </c>
      <c r="H26" s="22">
        <f t="shared" si="0"/>
        <v>97.56159040556139</v>
      </c>
    </row>
    <row r="29" spans="1:8">
      <c r="B29" s="17"/>
      <c r="D29" s="18"/>
      <c r="E29" s="18"/>
      <c r="F29" s="19"/>
    </row>
    <row r="30" spans="1:8">
      <c r="B30" s="17"/>
      <c r="F30" s="19"/>
    </row>
    <row r="31" spans="1:8">
      <c r="B31" s="30"/>
    </row>
    <row r="32" spans="1:8">
      <c r="A32" s="20"/>
    </row>
    <row r="33" spans="1:2">
      <c r="A33" s="34"/>
      <c r="B33" s="34"/>
    </row>
  </sheetData>
  <mergeCells count="10">
    <mergeCell ref="A24:A25"/>
    <mergeCell ref="B24:B25"/>
    <mergeCell ref="A33:B33"/>
    <mergeCell ref="A1:H1"/>
    <mergeCell ref="A2:A3"/>
    <mergeCell ref="B2:B3"/>
    <mergeCell ref="C2:C3"/>
    <mergeCell ref="D2:F3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рус.яз</vt:lpstr>
      <vt:lpstr>каз.яз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2022-07-26T07:36:30Z</dcterms:modified>
</cp:coreProperties>
</file>