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тариф для антимоноп" sheetId="1" r:id="rId1"/>
  </sheets>
  <externalReferences>
    <externalReference r:id="rId2"/>
  </externalReferences>
  <definedNames>
    <definedName name="АБП">'[1]Служебный ФКРБ'!$A$2:$A$136</definedName>
    <definedName name="ВидПредмета">'[1]Вид предмета'!$A$1:$A$3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Обоснование">OFFSET([1]ОПГЗ!$A$1,MATCH('[1]План ГЗ'!$P1,[1]ОПГЗ!$A$1:$A$65536,0)-1,1,COUNTIF([1]ОПГЗ!$A$1:$A$65536,'[1]План ГЗ'!$P1),1)</definedName>
    <definedName name="Подпрограмма">'[1]Служебный ФКРБ'!$C$2:$C$31</definedName>
    <definedName name="Программа">'[1]Служебный ФКРБ'!$B$2:$B$145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</definedNames>
  <calcPr calcId="124519"/>
</workbook>
</file>

<file path=xl/calcChain.xml><?xml version="1.0" encoding="utf-8"?>
<calcChain xmlns="http://schemas.openxmlformats.org/spreadsheetml/2006/main">
  <c r="V118" i="1"/>
  <c r="S118"/>
  <c r="Q118"/>
  <c r="R118" s="1"/>
  <c r="V117"/>
  <c r="S117"/>
  <c r="Q117"/>
  <c r="R117" s="1"/>
  <c r="V114"/>
  <c r="S114"/>
  <c r="Q114"/>
  <c r="R114" s="1"/>
  <c r="V113"/>
  <c r="S113"/>
  <c r="Q113"/>
  <c r="R113" s="1"/>
  <c r="V112"/>
  <c r="S112"/>
  <c r="Q112"/>
  <c r="R112" s="1"/>
  <c r="U111"/>
  <c r="V111" s="1"/>
  <c r="P111"/>
  <c r="Q111" s="1"/>
  <c r="R111" s="1"/>
  <c r="V110"/>
  <c r="S110"/>
  <c r="Q110"/>
  <c r="R110" s="1"/>
  <c r="V109"/>
  <c r="S109"/>
  <c r="Q109"/>
  <c r="R109" s="1"/>
  <c r="V108"/>
  <c r="S108"/>
  <c r="Q108"/>
  <c r="R108" s="1"/>
  <c r="V107"/>
  <c r="S107"/>
  <c r="Q107"/>
  <c r="R107" s="1"/>
  <c r="J107"/>
  <c r="V106"/>
  <c r="S106"/>
  <c r="Q106"/>
  <c r="R106" s="1"/>
  <c r="V105"/>
  <c r="S105"/>
  <c r="Q105"/>
  <c r="R105" s="1"/>
  <c r="T104"/>
  <c r="V104" s="1"/>
  <c r="O104"/>
  <c r="Q104" s="1"/>
  <c r="R104" s="1"/>
  <c r="L104"/>
  <c r="T103"/>
  <c r="V103" s="1"/>
  <c r="O103"/>
  <c r="Q103" s="1"/>
  <c r="R103" s="1"/>
  <c r="M103"/>
  <c r="L103"/>
  <c r="V102"/>
  <c r="S102"/>
  <c r="Q102"/>
  <c r="R102" s="1"/>
  <c r="V101"/>
  <c r="S101"/>
  <c r="Q101"/>
  <c r="R101" s="1"/>
  <c r="V100"/>
  <c r="S100"/>
  <c r="Q100"/>
  <c r="R100" s="1"/>
  <c r="V99"/>
  <c r="S99"/>
  <c r="Q99"/>
  <c r="R99" s="1"/>
  <c r="M99"/>
  <c r="J99"/>
  <c r="J98" s="1"/>
  <c r="N98"/>
  <c r="L98"/>
  <c r="K98"/>
  <c r="I98"/>
  <c r="F98"/>
  <c r="H98" s="1"/>
  <c r="V97"/>
  <c r="S97"/>
  <c r="Q97"/>
  <c r="R97" s="1"/>
  <c r="F97"/>
  <c r="H97" s="1"/>
  <c r="V96"/>
  <c r="S96"/>
  <c r="Q96"/>
  <c r="R96" s="1"/>
  <c r="I96"/>
  <c r="V95"/>
  <c r="S95"/>
  <c r="Q95"/>
  <c r="R95" s="1"/>
  <c r="M95"/>
  <c r="L95"/>
  <c r="L93" s="1"/>
  <c r="I95"/>
  <c r="V94"/>
  <c r="S94"/>
  <c r="Q94"/>
  <c r="R94" s="1"/>
  <c r="I94"/>
  <c r="U93"/>
  <c r="V93" s="1"/>
  <c r="T93"/>
  <c r="P93"/>
  <c r="O93"/>
  <c r="N93"/>
  <c r="M93"/>
  <c r="K93"/>
  <c r="J93"/>
  <c r="F93"/>
  <c r="H93" s="1"/>
  <c r="V92"/>
  <c r="S92"/>
  <c r="Q92"/>
  <c r="R92" s="1"/>
  <c r="V91"/>
  <c r="S91"/>
  <c r="Q91"/>
  <c r="R91" s="1"/>
  <c r="I91"/>
  <c r="I88" s="1"/>
  <c r="V90"/>
  <c r="S90"/>
  <c r="Q90"/>
  <c r="R90" s="1"/>
  <c r="V89"/>
  <c r="S89"/>
  <c r="Q89"/>
  <c r="R89" s="1"/>
  <c r="U88"/>
  <c r="T88"/>
  <c r="P88"/>
  <c r="O88"/>
  <c r="N88"/>
  <c r="M88"/>
  <c r="L88"/>
  <c r="K88"/>
  <c r="J88"/>
  <c r="F88"/>
  <c r="H88" s="1"/>
  <c r="V87"/>
  <c r="S87"/>
  <c r="Q87"/>
  <c r="R87" s="1"/>
  <c r="F87"/>
  <c r="H87" s="1"/>
  <c r="V86"/>
  <c r="S86"/>
  <c r="Q86"/>
  <c r="R86" s="1"/>
  <c r="F86"/>
  <c r="H86" s="1"/>
  <c r="V85"/>
  <c r="S85"/>
  <c r="Q85"/>
  <c r="R85" s="1"/>
  <c r="I85"/>
  <c r="I80" s="1"/>
  <c r="V84"/>
  <c r="S84"/>
  <c r="Q84"/>
  <c r="R84" s="1"/>
  <c r="S83"/>
  <c r="V82"/>
  <c r="S82"/>
  <c r="Q82"/>
  <c r="R82" s="1"/>
  <c r="K82"/>
  <c r="U81"/>
  <c r="V81" s="1"/>
  <c r="P81"/>
  <c r="Q81" s="1"/>
  <c r="R81" s="1"/>
  <c r="K81"/>
  <c r="T80"/>
  <c r="O80"/>
  <c r="N80"/>
  <c r="M80"/>
  <c r="L80"/>
  <c r="J80"/>
  <c r="F80"/>
  <c r="H80" s="1"/>
  <c r="U79"/>
  <c r="V79" s="1"/>
  <c r="P79"/>
  <c r="S79" s="1"/>
  <c r="M79"/>
  <c r="M77" s="1"/>
  <c r="L79"/>
  <c r="L77" s="1"/>
  <c r="V78"/>
  <c r="S78"/>
  <c r="K77"/>
  <c r="J77"/>
  <c r="I77"/>
  <c r="F77"/>
  <c r="H77" s="1"/>
  <c r="S76"/>
  <c r="F76"/>
  <c r="H76" s="1"/>
  <c r="V75"/>
  <c r="S75"/>
  <c r="Q75"/>
  <c r="R75" s="1"/>
  <c r="F75"/>
  <c r="H75" s="1"/>
  <c r="V74"/>
  <c r="S74"/>
  <c r="Q74"/>
  <c r="R74" s="1"/>
  <c r="U73"/>
  <c r="U69" s="1"/>
  <c r="T73"/>
  <c r="T69" s="1"/>
  <c r="P73"/>
  <c r="P69" s="1"/>
  <c r="O73"/>
  <c r="M73"/>
  <c r="M69" s="1"/>
  <c r="F73"/>
  <c r="H73" s="1"/>
  <c r="V72"/>
  <c r="S72"/>
  <c r="Q72"/>
  <c r="R72" s="1"/>
  <c r="F72"/>
  <c r="H72" s="1"/>
  <c r="V71"/>
  <c r="S71"/>
  <c r="Q71"/>
  <c r="R71" s="1"/>
  <c r="J71"/>
  <c r="I71"/>
  <c r="E71"/>
  <c r="F71" s="1"/>
  <c r="H71" s="1"/>
  <c r="V70"/>
  <c r="S70"/>
  <c r="Q70"/>
  <c r="R70" s="1"/>
  <c r="F70"/>
  <c r="N69"/>
  <c r="L69"/>
  <c r="K69"/>
  <c r="J69"/>
  <c r="I69"/>
  <c r="E69"/>
  <c r="V68"/>
  <c r="S68"/>
  <c r="Q68"/>
  <c r="R68" s="1"/>
  <c r="F68"/>
  <c r="H68" s="1"/>
  <c r="V67"/>
  <c r="S67"/>
  <c r="Q67"/>
  <c r="R67" s="1"/>
  <c r="F67"/>
  <c r="H67" s="1"/>
  <c r="V66"/>
  <c r="S66"/>
  <c r="Q66"/>
  <c r="R66" s="1"/>
  <c r="I66"/>
  <c r="I65" s="1"/>
  <c r="F66"/>
  <c r="H66" s="1"/>
  <c r="U65"/>
  <c r="T65"/>
  <c r="P65"/>
  <c r="O65"/>
  <c r="N65"/>
  <c r="M65"/>
  <c r="L65"/>
  <c r="K65"/>
  <c r="J65"/>
  <c r="E65"/>
  <c r="V62"/>
  <c r="S62"/>
  <c r="Q62"/>
  <c r="R62" s="1"/>
  <c r="V61"/>
  <c r="S61"/>
  <c r="Q61"/>
  <c r="R61" s="1"/>
  <c r="V60"/>
  <c r="S60"/>
  <c r="Q60"/>
  <c r="R60" s="1"/>
  <c r="V59"/>
  <c r="S59"/>
  <c r="Q59"/>
  <c r="R59" s="1"/>
  <c r="V58"/>
  <c r="S58"/>
  <c r="Q58"/>
  <c r="R58" s="1"/>
  <c r="K58"/>
  <c r="F58"/>
  <c r="H58" s="1"/>
  <c r="V57"/>
  <c r="S57"/>
  <c r="Q57"/>
  <c r="R57" s="1"/>
  <c r="F57"/>
  <c r="H57" s="1"/>
  <c r="V56"/>
  <c r="S56"/>
  <c r="Q56"/>
  <c r="R56" s="1"/>
  <c r="F56"/>
  <c r="H56" s="1"/>
  <c r="V55"/>
  <c r="S55"/>
  <c r="Q55"/>
  <c r="R55" s="1"/>
  <c r="F55"/>
  <c r="H55" s="1"/>
  <c r="V54"/>
  <c r="S54"/>
  <c r="Q54"/>
  <c r="R54" s="1"/>
  <c r="F54"/>
  <c r="H54" s="1"/>
  <c r="V53"/>
  <c r="S53"/>
  <c r="Q53"/>
  <c r="R53" s="1"/>
  <c r="F53"/>
  <c r="H53" s="1"/>
  <c r="V52"/>
  <c r="S52"/>
  <c r="Q52"/>
  <c r="R52" s="1"/>
  <c r="F52"/>
  <c r="H52" s="1"/>
  <c r="V51"/>
  <c r="S51"/>
  <c r="Q51"/>
  <c r="R51" s="1"/>
  <c r="F51"/>
  <c r="H51" s="1"/>
  <c r="V50"/>
  <c r="S50"/>
  <c r="Q50"/>
  <c r="R50" s="1"/>
  <c r="V49"/>
  <c r="S49"/>
  <c r="Q49"/>
  <c r="R49" s="1"/>
  <c r="I49"/>
  <c r="V48"/>
  <c r="S48"/>
  <c r="Q48"/>
  <c r="R48" s="1"/>
  <c r="I48"/>
  <c r="V47"/>
  <c r="S47"/>
  <c r="Q47"/>
  <c r="R47" s="1"/>
  <c r="I47"/>
  <c r="V46"/>
  <c r="S46"/>
  <c r="Q46"/>
  <c r="R46" s="1"/>
  <c r="I46"/>
  <c r="V45"/>
  <c r="S45"/>
  <c r="Q45"/>
  <c r="R45" s="1"/>
  <c r="J45"/>
  <c r="F45"/>
  <c r="H45" s="1"/>
  <c r="V44"/>
  <c r="V43"/>
  <c r="V42"/>
  <c r="I42"/>
  <c r="V41"/>
  <c r="K41"/>
  <c r="V40"/>
  <c r="V39"/>
  <c r="V38"/>
  <c r="V37"/>
  <c r="V36"/>
  <c r="U35"/>
  <c r="V35" s="1"/>
  <c r="P35"/>
  <c r="Q35" s="1"/>
  <c r="R35" s="1"/>
  <c r="K35"/>
  <c r="J35"/>
  <c r="I35"/>
  <c r="F35"/>
  <c r="V34"/>
  <c r="S34"/>
  <c r="Q34"/>
  <c r="R34" s="1"/>
  <c r="F34"/>
  <c r="H34" s="1"/>
  <c r="V33"/>
  <c r="S33"/>
  <c r="Q33"/>
  <c r="R33" s="1"/>
  <c r="U32"/>
  <c r="V32" s="1"/>
  <c r="P32"/>
  <c r="Q32" s="1"/>
  <c r="R32" s="1"/>
  <c r="F32"/>
  <c r="H32" s="1"/>
  <c r="T31"/>
  <c r="O31"/>
  <c r="N31"/>
  <c r="M31"/>
  <c r="L31"/>
  <c r="J31"/>
  <c r="E31"/>
  <c r="U30"/>
  <c r="V30" s="1"/>
  <c r="P30"/>
  <c r="S30" s="1"/>
  <c r="M30"/>
  <c r="M28" s="1"/>
  <c r="L30"/>
  <c r="L28" s="1"/>
  <c r="E30"/>
  <c r="F30" s="1"/>
  <c r="V29"/>
  <c r="S29"/>
  <c r="Q29"/>
  <c r="R29" s="1"/>
  <c r="F29"/>
  <c r="H29" s="1"/>
  <c r="U28"/>
  <c r="T28"/>
  <c r="O28"/>
  <c r="N28"/>
  <c r="K28"/>
  <c r="J28"/>
  <c r="I28"/>
  <c r="E28"/>
  <c r="V27"/>
  <c r="S27"/>
  <c r="Q27"/>
  <c r="R27" s="1"/>
  <c r="V26"/>
  <c r="S26"/>
  <c r="Q26"/>
  <c r="R26" s="1"/>
  <c r="U25"/>
  <c r="V25" s="1"/>
  <c r="P25"/>
  <c r="Q25" s="1"/>
  <c r="R25" s="1"/>
  <c r="T24"/>
  <c r="O24"/>
  <c r="L24"/>
  <c r="F24"/>
  <c r="H24" s="1"/>
  <c r="V23"/>
  <c r="S23"/>
  <c r="Q23"/>
  <c r="R23" s="1"/>
  <c r="H23"/>
  <c r="U22"/>
  <c r="V22" s="1"/>
  <c r="P22"/>
  <c r="Q22" s="1"/>
  <c r="R22" s="1"/>
  <c r="M22"/>
  <c r="M18" s="1"/>
  <c r="L22"/>
  <c r="L18" s="1"/>
  <c r="F22"/>
  <c r="H22" s="1"/>
  <c r="V21"/>
  <c r="S21"/>
  <c r="Q21"/>
  <c r="R21" s="1"/>
  <c r="F21"/>
  <c r="H21" s="1"/>
  <c r="V20"/>
  <c r="S20"/>
  <c r="Q20"/>
  <c r="R20" s="1"/>
  <c r="J20"/>
  <c r="I20"/>
  <c r="E20"/>
  <c r="F20" s="1"/>
  <c r="H20" s="1"/>
  <c r="V19"/>
  <c r="S19"/>
  <c r="Q19"/>
  <c r="R19" s="1"/>
  <c r="F19"/>
  <c r="H19" s="1"/>
  <c r="T18"/>
  <c r="P18"/>
  <c r="O18"/>
  <c r="N18"/>
  <c r="K18"/>
  <c r="J18"/>
  <c r="I18"/>
  <c r="E18"/>
  <c r="V17"/>
  <c r="S17"/>
  <c r="Q17"/>
  <c r="R17" s="1"/>
  <c r="F17"/>
  <c r="H17" s="1"/>
  <c r="V16"/>
  <c r="S16"/>
  <c r="Q16"/>
  <c r="R16" s="1"/>
  <c r="F16"/>
  <c r="H16" s="1"/>
  <c r="V15"/>
  <c r="S15"/>
  <c r="Q15"/>
  <c r="R15" s="1"/>
  <c r="I15"/>
  <c r="F15"/>
  <c r="H15" s="1"/>
  <c r="U14"/>
  <c r="T14"/>
  <c r="P14"/>
  <c r="O14"/>
  <c r="N14"/>
  <c r="M14"/>
  <c r="L14"/>
  <c r="K14"/>
  <c r="J14"/>
  <c r="I14"/>
  <c r="E14"/>
  <c r="V88" l="1"/>
  <c r="F69"/>
  <c r="Q93"/>
  <c r="R93" s="1"/>
  <c r="K31"/>
  <c r="V65"/>
  <c r="U77"/>
  <c r="V77" s="1"/>
  <c r="H70"/>
  <c r="I93"/>
  <c r="I45"/>
  <c r="I31" s="1"/>
  <c r="I13" s="1"/>
  <c r="S73"/>
  <c r="P98"/>
  <c r="E13"/>
  <c r="S22"/>
  <c r="V69"/>
  <c r="P80"/>
  <c r="Q80" s="1"/>
  <c r="R80" s="1"/>
  <c r="Q18"/>
  <c r="R18" s="1"/>
  <c r="E64"/>
  <c r="E63" s="1"/>
  <c r="Q65"/>
  <c r="R65" s="1"/>
  <c r="O69"/>
  <c r="V73"/>
  <c r="P77"/>
  <c r="S77" s="1"/>
  <c r="Q88"/>
  <c r="R88" s="1"/>
  <c r="U98"/>
  <c r="M98"/>
  <c r="M64" s="1"/>
  <c r="M63" s="1"/>
  <c r="S111"/>
  <c r="S32"/>
  <c r="T13"/>
  <c r="K13"/>
  <c r="V28"/>
  <c r="F31"/>
  <c r="Q73"/>
  <c r="R73" s="1"/>
  <c r="S18"/>
  <c r="H18"/>
  <c r="L64"/>
  <c r="L63" s="1"/>
  <c r="J13"/>
  <c r="N13"/>
  <c r="H14"/>
  <c r="M13"/>
  <c r="P28"/>
  <c r="Q28" s="1"/>
  <c r="R28" s="1"/>
  <c r="H35"/>
  <c r="H31" s="1"/>
  <c r="K80"/>
  <c r="K64" s="1"/>
  <c r="K63" s="1"/>
  <c r="S103"/>
  <c r="L13"/>
  <c r="S65"/>
  <c r="H69"/>
  <c r="O13"/>
  <c r="S14"/>
  <c r="V14"/>
  <c r="F18"/>
  <c r="J64"/>
  <c r="J63" s="1"/>
  <c r="J115" s="1"/>
  <c r="J116" s="1"/>
  <c r="N64"/>
  <c r="H65"/>
  <c r="S88"/>
  <c r="S93"/>
  <c r="H30"/>
  <c r="H28" s="1"/>
  <c r="F28"/>
  <c r="I64"/>
  <c r="I63" s="1"/>
  <c r="Q14"/>
  <c r="R14" s="1"/>
  <c r="U18"/>
  <c r="S25"/>
  <c r="Q30"/>
  <c r="R30" s="1"/>
  <c r="U31"/>
  <c r="V31" s="1"/>
  <c r="S35"/>
  <c r="S81"/>
  <c r="S104"/>
  <c r="U24"/>
  <c r="V24" s="1"/>
  <c r="P31"/>
  <c r="Q31" s="1"/>
  <c r="R31" s="1"/>
  <c r="T98"/>
  <c r="F14"/>
  <c r="P24"/>
  <c r="Q24" s="1"/>
  <c r="R24" s="1"/>
  <c r="F65"/>
  <c r="U80"/>
  <c r="O98"/>
  <c r="F64" l="1"/>
  <c r="F63" s="1"/>
  <c r="F115" s="1"/>
  <c r="V98"/>
  <c r="H64"/>
  <c r="H63" s="1"/>
  <c r="K115"/>
  <c r="K116" s="1"/>
  <c r="E115"/>
  <c r="E117" s="1"/>
  <c r="E119" s="1"/>
  <c r="O64"/>
  <c r="O63" s="1"/>
  <c r="S63" s="1"/>
  <c r="S98"/>
  <c r="F13"/>
  <c r="I115"/>
  <c r="I116" s="1"/>
  <c r="M115"/>
  <c r="M116" s="1"/>
  <c r="S80"/>
  <c r="P64"/>
  <c r="P63" s="1"/>
  <c r="Q77"/>
  <c r="R77" s="1"/>
  <c r="Q98"/>
  <c r="R98" s="1"/>
  <c r="S28"/>
  <c r="S69"/>
  <c r="H13"/>
  <c r="Q69"/>
  <c r="R69" s="1"/>
  <c r="L115"/>
  <c r="L116" s="1"/>
  <c r="U13"/>
  <c r="V13" s="1"/>
  <c r="V18"/>
  <c r="S24"/>
  <c r="T64"/>
  <c r="T63" s="1"/>
  <c r="T115" s="1"/>
  <c r="T116" s="1"/>
  <c r="H115"/>
  <c r="P13"/>
  <c r="O115"/>
  <c r="V80"/>
  <c r="U64"/>
  <c r="S31"/>
  <c r="H117" l="1"/>
  <c r="Q63"/>
  <c r="R63" s="1"/>
  <c r="U63"/>
  <c r="V64"/>
  <c r="O116"/>
  <c r="Q13"/>
  <c r="R13" s="1"/>
  <c r="S13"/>
  <c r="P115"/>
  <c r="P116" l="1"/>
  <c r="Q115"/>
  <c r="R115" s="1"/>
  <c r="V63"/>
  <c r="U115"/>
  <c r="S115"/>
  <c r="U116" l="1"/>
  <c r="V115"/>
</calcChain>
</file>

<file path=xl/sharedStrings.xml><?xml version="1.0" encoding="utf-8"?>
<sst xmlns="http://schemas.openxmlformats.org/spreadsheetml/2006/main" count="264" uniqueCount="202">
  <si>
    <t xml:space="preserve">Отчет об исполнении тарифной сметы  </t>
  </si>
  <si>
    <t>№ п/п</t>
  </si>
  <si>
    <t>наименование показателей</t>
  </si>
  <si>
    <t>ед.изм.</t>
  </si>
  <si>
    <t>принято ДАРЕМ (приказ № 107-ОД от 16.05.16г)</t>
  </si>
  <si>
    <t>на 1 м3</t>
  </si>
  <si>
    <t>объем</t>
  </si>
  <si>
    <t>затраты на                        53 000 м3</t>
  </si>
  <si>
    <t>для работы 1 раз</t>
  </si>
  <si>
    <t>для работы 2 раз</t>
  </si>
  <si>
    <t>для работы ПР-2 версия</t>
  </si>
  <si>
    <t>9 месяц факт по 1С программе</t>
  </si>
  <si>
    <t>фактич. показатели за                             9 месяцев                     2018 г.</t>
  </si>
  <si>
    <t>принято ДАРЕМ на 2018 г.</t>
  </si>
  <si>
    <t>фактич. показатели за                                               2018 г.</t>
  </si>
  <si>
    <t>Приказ                      №374-ОД от 29.11.2018 г</t>
  </si>
  <si>
    <t>Факт за 2018 г</t>
  </si>
  <si>
    <t>Отклонение</t>
  </si>
  <si>
    <t>Причины отклонения</t>
  </si>
  <si>
    <t>I</t>
  </si>
  <si>
    <t>Затраты на производство и предоставление услуг всего,</t>
  </si>
  <si>
    <t>тыс. тенге</t>
  </si>
  <si>
    <t>Материальные затраты всего, в том числе</t>
  </si>
  <si>
    <t>-//-</t>
  </si>
  <si>
    <t>1.1.</t>
  </si>
  <si>
    <t xml:space="preserve">запасные части.ремонт а/маш                                 </t>
  </si>
  <si>
    <t>Не запланированное списание з/частей</t>
  </si>
  <si>
    <t>1.2.</t>
  </si>
  <si>
    <t>горюче-смазочные материалы</t>
  </si>
  <si>
    <t>1.3.</t>
  </si>
  <si>
    <t>электроэнергия</t>
  </si>
  <si>
    <t>Согласно послания президента РК (о снижение тарифов на ком.услуги)</t>
  </si>
  <si>
    <t>2.</t>
  </si>
  <si>
    <t>Расходы на оплату труда, всего, в т.ч.</t>
  </si>
  <si>
    <t>2.1.</t>
  </si>
  <si>
    <t>Заработная плата производственного персонала</t>
  </si>
  <si>
    <t xml:space="preserve">перерасход связан с выплатой в конце года сторожам  сверху-рочных часов по итогам 2018 г. </t>
  </si>
  <si>
    <t>среднемесячная заработная плата</t>
  </si>
  <si>
    <t>тыс.</t>
  </si>
  <si>
    <t>численность</t>
  </si>
  <si>
    <t>чел</t>
  </si>
  <si>
    <t>2.2.</t>
  </si>
  <si>
    <t>Социальный налог</t>
  </si>
  <si>
    <t>2.3.</t>
  </si>
  <si>
    <t>ОСМС</t>
  </si>
  <si>
    <t xml:space="preserve">Амортизация </t>
  </si>
  <si>
    <t>3.1.</t>
  </si>
  <si>
    <t>Инвестиционная программа</t>
  </si>
  <si>
    <t xml:space="preserve"> перерасчет согласно СБУ 6 "Учет основных средств", утвержденным приказом Министерства финансов РК от 28.01.2003 г. </t>
  </si>
  <si>
    <t>3.2.</t>
  </si>
  <si>
    <t>Капитальный ремонт за счет прибыли</t>
  </si>
  <si>
    <t>3.3.</t>
  </si>
  <si>
    <t>Шнекороторное навесное оборудование за счет прибыли</t>
  </si>
  <si>
    <t>Данное мероприятие не исполненно в связи с тем, что по итогам ГЗ и условной экономии победителем признан  "Бек", но он не поставил товар. После расторжения договора через суд и признание  их не добросовестнными участниками.</t>
  </si>
  <si>
    <t>Ремонт всего, в том числе</t>
  </si>
  <si>
    <t>4.1.</t>
  </si>
  <si>
    <t xml:space="preserve">капитальный ремонт, не приводящий к увеличению стоимости основных средств </t>
  </si>
  <si>
    <t>не запланированный ремонт на Желкуарском водохранилище</t>
  </si>
  <si>
    <t>4.2.</t>
  </si>
  <si>
    <t>Содержание  зданий и сооружений</t>
  </si>
  <si>
    <t>экономия по итогам проведения ГЗ</t>
  </si>
  <si>
    <t>5</t>
  </si>
  <si>
    <t>Прочие затраты всего, в том числе</t>
  </si>
  <si>
    <t>5.1.</t>
  </si>
  <si>
    <t>затраты на проверку и аттестацию приборов учета, лабораторий, обследование энергооборудования</t>
  </si>
  <si>
    <t>6 водохранилищ*104,166 тенге(эл-нур-сервис)</t>
  </si>
  <si>
    <t>5.2.</t>
  </si>
  <si>
    <t>Коммунальные расходы, пр. деят.</t>
  </si>
  <si>
    <t>5.3.</t>
  </si>
  <si>
    <t>Охрана труда и техника безопасности</t>
  </si>
  <si>
    <t>приобретение рукавиц</t>
  </si>
  <si>
    <t>приобретение спец.одежды</t>
  </si>
  <si>
    <t>приобретение аптечек 6участков+ауп</t>
  </si>
  <si>
    <t>приобретение  моющих средств порошок,мыло</t>
  </si>
  <si>
    <t>огнезащитная обработка дер.конструкций                             адм.здания и гаража</t>
  </si>
  <si>
    <t>приобретение и перезарядка огнетушителей</t>
  </si>
  <si>
    <t>обучение тех.руководителей 5 чел * 9000тенге</t>
  </si>
  <si>
    <t>обучение произ.персонал  21 чел * 9000тенге</t>
  </si>
  <si>
    <t>испытание защ.средств, проверка электроинструментов 4 производственных участка * 25982 тенге</t>
  </si>
  <si>
    <t>5.4.</t>
  </si>
  <si>
    <t>Пропуск паводковых вод</t>
  </si>
  <si>
    <t>веревка 20 п.м * 4 участка * 450 тенге</t>
  </si>
  <si>
    <t>мешок 500 шт * 4 участка * 55 тенге</t>
  </si>
  <si>
    <r>
      <t xml:space="preserve">песок 10м3 * 4 участка *1500 тенге </t>
    </r>
    <r>
      <rPr>
        <b/>
        <i/>
        <sz val="10"/>
        <color indexed="8"/>
        <rFont val="Times New Roman"/>
        <family val="1"/>
        <charset val="204"/>
      </rPr>
      <t>ВЕТОШЬ</t>
    </r>
  </si>
  <si>
    <t>щебень 10м3 * 4 участка *4500 тенге</t>
  </si>
  <si>
    <t>гсм 1120 литров * 142,86 (160)</t>
  </si>
  <si>
    <t>5.5.</t>
  </si>
  <si>
    <t>Оплата за химический анализ воды</t>
  </si>
  <si>
    <t>5.6.</t>
  </si>
  <si>
    <t>Автотранспортные услуги</t>
  </si>
  <si>
    <t>5.7.</t>
  </si>
  <si>
    <r>
      <t>Страхование транспортных средств</t>
    </r>
    <r>
      <rPr>
        <sz val="10"/>
        <color indexed="8"/>
        <rFont val="Times New Roman"/>
        <family val="1"/>
        <charset val="204"/>
      </rPr>
      <t xml:space="preserve"> </t>
    </r>
  </si>
  <si>
    <t>Согласно списанию в бухгалтерском учете.</t>
  </si>
  <si>
    <t>5.10</t>
  </si>
  <si>
    <t>Техническое обслуживание и ремонт системы видеонаблюдения</t>
  </si>
  <si>
    <t>5.11.</t>
  </si>
  <si>
    <t>Техническое обслуживание и ремонт средств пожарной сигнализации</t>
  </si>
  <si>
    <t>5.12.</t>
  </si>
  <si>
    <t xml:space="preserve"> Услуги по ежегодн.обязат.медосмотру</t>
  </si>
  <si>
    <t>5.13.</t>
  </si>
  <si>
    <t>Услуги по обслуживанию тревожной кнопки</t>
  </si>
  <si>
    <t>5.16.</t>
  </si>
  <si>
    <t>Утилизация (ртуть содержащих ламп,отработанных масел,отработанных аккмуляторных батарей,использованных шин )</t>
  </si>
  <si>
    <t>перерасход связан с повторной процедурой проведения ГЗ</t>
  </si>
  <si>
    <t>Приобретение счетчиков воды</t>
  </si>
  <si>
    <r>
      <t xml:space="preserve">Приобретение счетчика тепла             </t>
    </r>
    <r>
      <rPr>
        <b/>
        <sz val="10"/>
        <color indexed="8"/>
        <rFont val="Times New Roman"/>
        <family val="1"/>
        <charset val="204"/>
      </rPr>
      <t xml:space="preserve"> водолазные работы</t>
    </r>
  </si>
  <si>
    <r>
      <t xml:space="preserve">Разработка проекта по выбросам               </t>
    </r>
    <r>
      <rPr>
        <b/>
        <sz val="10"/>
        <color indexed="8"/>
        <rFont val="Times New Roman"/>
        <family val="1"/>
        <charset val="204"/>
      </rPr>
      <t xml:space="preserve">    шнекоротор</t>
    </r>
  </si>
  <si>
    <t>Демонтаж автомобиля</t>
  </si>
  <si>
    <t>II.</t>
  </si>
  <si>
    <t>Расходы периода всего:</t>
  </si>
  <si>
    <t>6.</t>
  </si>
  <si>
    <t>Общие и административные всего, в том числе</t>
  </si>
  <si>
    <t>6.1.</t>
  </si>
  <si>
    <t>сырье и материалы, всего, в том числе</t>
  </si>
  <si>
    <t>6.1.1.</t>
  </si>
  <si>
    <t>запасные части</t>
  </si>
  <si>
    <t>6.1.2.</t>
  </si>
  <si>
    <t>ГСМ</t>
  </si>
  <si>
    <t>6.1.3</t>
  </si>
  <si>
    <t>6.2.</t>
  </si>
  <si>
    <t>6.2.1.</t>
  </si>
  <si>
    <t>заработная плата админстративного персонала</t>
  </si>
  <si>
    <t>6.2.2.</t>
  </si>
  <si>
    <t>социальный налог</t>
  </si>
  <si>
    <t>6.2.3.</t>
  </si>
  <si>
    <t>Не у всех сотрудников производятся вычеты</t>
  </si>
  <si>
    <t>6.3.</t>
  </si>
  <si>
    <t>услуги банка</t>
  </si>
  <si>
    <t>Увеличилась комиссия банка за расчетное обслуживание</t>
  </si>
  <si>
    <t>6.4.</t>
  </si>
  <si>
    <t>амортизация немат.активов</t>
  </si>
  <si>
    <t>6.5.</t>
  </si>
  <si>
    <t>расходы на содержание и обслуживание  техни- ческих средств, вычислительной техники и т.д.</t>
  </si>
  <si>
    <t>параграф</t>
  </si>
  <si>
    <t>Содержание и обслуживание компьютерной техники</t>
  </si>
  <si>
    <t>6.6.</t>
  </si>
  <si>
    <t>коммунальные услуги</t>
  </si>
  <si>
    <t>экономия по данной статье на основании принятых и разнесенных счетов фактур</t>
  </si>
  <si>
    <t>тепловая энергия</t>
  </si>
  <si>
    <t>сервесное обслуживание тепло счетчика взлет</t>
  </si>
  <si>
    <t>счетчики воды и тепла</t>
  </si>
  <si>
    <t>вывоз и прием ТБО</t>
  </si>
  <si>
    <t>Подача пит.воды и уд.сточных вод 10 м3*12 мес</t>
  </si>
  <si>
    <t>6.7.</t>
  </si>
  <si>
    <t>Обслуживание базы "Закон"</t>
  </si>
  <si>
    <t>6.8.</t>
  </si>
  <si>
    <t>Командировочные расходы</t>
  </si>
  <si>
    <t>6.10.</t>
  </si>
  <si>
    <t>Представительские расходы, связь, периодическая печать</t>
  </si>
  <si>
    <t>услуги связи</t>
  </si>
  <si>
    <t>услуги почтовой связи</t>
  </si>
  <si>
    <t>переодическая печать</t>
  </si>
  <si>
    <t>услуги курьерской почты</t>
  </si>
  <si>
    <t>6.11.</t>
  </si>
  <si>
    <t>налоговые платежи</t>
  </si>
  <si>
    <t>налог на транспорт</t>
  </si>
  <si>
    <t>имущественный налог</t>
  </si>
  <si>
    <t xml:space="preserve">налог на землю </t>
  </si>
  <si>
    <t>6.12.</t>
  </si>
  <si>
    <t>плата за загрязнение окружающей среды</t>
  </si>
  <si>
    <t xml:space="preserve">экономия по данной статье на основании разработанного в ноябре проекта нормативов ПДВ в окр. среду на 5 площадок </t>
  </si>
  <si>
    <t>6.13.</t>
  </si>
  <si>
    <t>другие расходы</t>
  </si>
  <si>
    <t>Канцелярские товары,бумага,бланки</t>
  </si>
  <si>
    <t>Услуги дезинфекции и дератизации</t>
  </si>
  <si>
    <t>Повышение квалификации</t>
  </si>
  <si>
    <t xml:space="preserve">Объявление в газету </t>
  </si>
  <si>
    <t>Страхование работников АУП</t>
  </si>
  <si>
    <t>Страхование автотранспорта (шкода)</t>
  </si>
  <si>
    <t>антивирусная защита</t>
  </si>
  <si>
    <t>штраф антимон</t>
  </si>
  <si>
    <t>новогодние подарки</t>
  </si>
  <si>
    <t>Услуги по бухгалтерскому учету</t>
  </si>
  <si>
    <t>благотворительная помощь</t>
  </si>
  <si>
    <t>гос.пошлина</t>
  </si>
  <si>
    <t>нотар.услуги</t>
  </si>
  <si>
    <t>мат.помощь профсоюзу</t>
  </si>
  <si>
    <t>прочие</t>
  </si>
  <si>
    <t>III</t>
  </si>
  <si>
    <t>Всего затрат</t>
  </si>
  <si>
    <t>IV</t>
  </si>
  <si>
    <t>Доход (РБ*СП)</t>
  </si>
  <si>
    <t>V</t>
  </si>
  <si>
    <t>Всего доходов</t>
  </si>
  <si>
    <t>Увеличение площадей орошаемых земель</t>
  </si>
  <si>
    <t>VI</t>
  </si>
  <si>
    <t>Объем оказываемых услуг</t>
  </si>
  <si>
    <t>тыс.м.3</t>
  </si>
  <si>
    <t>VII</t>
  </si>
  <si>
    <t>Тариф (без НДС)</t>
  </si>
  <si>
    <t>тенге/м3</t>
  </si>
  <si>
    <t>1,19-1,31</t>
  </si>
  <si>
    <t xml:space="preserve">Директор                                                                       </t>
  </si>
  <si>
    <t>Д.Абдикамитов</t>
  </si>
  <si>
    <t xml:space="preserve">Гл.экономист                                                                        </t>
  </si>
  <si>
    <t xml:space="preserve">  Е.Очешлюк</t>
  </si>
  <si>
    <t xml:space="preserve">Переодичность : годовая </t>
  </si>
  <si>
    <t>Предоставляют: Костанайский филиал РГП на ПХВ "Казводхоз" КВР МСХ</t>
  </si>
  <si>
    <t>Срок предоставления : ежегодно не позднее 1 мая года,следующего за отчетным периодом,за исключением региональной электросетевой компании</t>
  </si>
  <si>
    <t xml:space="preserve">Отчетный период 2018 год </t>
  </si>
  <si>
    <t xml:space="preserve"> на услуги по регулированию  поверхностного стока при помощи подпорных гидротехнических сорружений</t>
  </si>
  <si>
    <t xml:space="preserve">Куда предоставляется форма:    Департамент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
 </t>
  </si>
</sst>
</file>

<file path=xl/styles.xml><?xml version="1.0" encoding="utf-8"?>
<styleSheet xmlns="http://schemas.openxmlformats.org/spreadsheetml/2006/main">
  <numFmts count="12">
    <numFmt numFmtId="164" formatCode="#,##0.000"/>
    <numFmt numFmtId="165" formatCode="0.0"/>
    <numFmt numFmtId="166" formatCode="0.00000"/>
    <numFmt numFmtId="167" formatCode="0.0000"/>
    <numFmt numFmtId="168" formatCode="#,##0.0"/>
    <numFmt numFmtId="169" formatCode="&quot; &quot;#,##0.00&quot;    &quot;;&quot;-&quot;#,##0.00&quot;    &quot;;&quot; -&quot;#&quot;    &quot;;@&quot; &quot;"/>
    <numFmt numFmtId="170" formatCode="[$-419]General"/>
    <numFmt numFmtId="171" formatCode="#,##0&quot;р.&quot;;\-#,##0&quot;р.&quot;"/>
    <numFmt numFmtId="172" formatCode="#,##0.00&quot; &quot;[$руб.-419];[Red]&quot;-&quot;#,##0.00&quot; &quot;[$руб.-419]"/>
    <numFmt numFmtId="173" formatCode="_-* #,##0.00_р_._-;\-* #,##0.00_р_._-;_-* &quot;-&quot;??_р_._-;_-@_-"/>
    <numFmt numFmtId="174" formatCode="_(* #,##0.00_);_(* \(#,##0.00\);_(* &quot;-&quot;??_);_(@_)"/>
    <numFmt numFmtId="175" formatCode="\€#,##0;&quot;-€&quot;#,##0"/>
  </numFmts>
  <fonts count="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9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sz val="9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8"/>
      <name val="Arial"/>
      <family val="2"/>
    </font>
    <font>
      <sz val="12"/>
      <name val="宋体"/>
      <charset val="134"/>
    </font>
    <font>
      <sz val="11"/>
      <color rgb="FF00000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11">
    <xf numFmtId="0" fontId="0" fillId="0" borderId="0"/>
    <xf numFmtId="0" fontId="3" fillId="0" borderId="0"/>
    <xf numFmtId="0" fontId="1" fillId="0" borderId="0"/>
    <xf numFmtId="0" fontId="16" fillId="0" borderId="0"/>
    <xf numFmtId="165" fontId="16" fillId="0" borderId="0" applyBorder="0" applyProtection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66" fontId="16" fillId="0" borderId="0"/>
    <xf numFmtId="171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23" fillId="0" borderId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/>
    <xf numFmtId="0" fontId="27" fillId="0" borderId="0" applyNumberFormat="0" applyBorder="0" applyProtection="0"/>
    <xf numFmtId="172" fontId="27" fillId="0" borderId="0" applyBorder="0" applyProtection="0"/>
    <xf numFmtId="0" fontId="28" fillId="0" borderId="0">
      <alignment horizontal="left" vertical="top"/>
    </xf>
    <xf numFmtId="0" fontId="29" fillId="0" borderId="0">
      <alignment horizontal="left" vertical="top"/>
    </xf>
    <xf numFmtId="0" fontId="28" fillId="0" borderId="0">
      <alignment horizontal="right" vertical="top"/>
    </xf>
    <xf numFmtId="0" fontId="29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1" fillId="0" borderId="0">
      <alignment horizontal="center" vertical="center"/>
    </xf>
    <xf numFmtId="0" fontId="29" fillId="0" borderId="0">
      <alignment horizontal="center" vertical="top"/>
    </xf>
    <xf numFmtId="0" fontId="31" fillId="0" borderId="0">
      <alignment horizontal="center" vertical="center" textRotation="90"/>
    </xf>
    <xf numFmtId="0" fontId="28" fillId="0" borderId="0">
      <alignment horizontal="left" vertical="top"/>
    </xf>
    <xf numFmtId="0" fontId="32" fillId="0" borderId="0">
      <alignment horizontal="left" vertical="top"/>
    </xf>
    <xf numFmtId="0" fontId="28" fillId="0" borderId="0">
      <alignment horizontal="right" vertical="top"/>
    </xf>
    <xf numFmtId="0" fontId="31" fillId="0" borderId="0">
      <alignment horizontal="center" vertical="center"/>
    </xf>
    <xf numFmtId="0" fontId="32" fillId="0" borderId="0">
      <alignment horizontal="left" vertical="top"/>
    </xf>
    <xf numFmtId="0" fontId="31" fillId="0" borderId="0">
      <alignment horizontal="center" vertical="center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center" textRotation="90"/>
    </xf>
    <xf numFmtId="0" fontId="31" fillId="0" borderId="0">
      <alignment horizontal="right" vertical="top"/>
    </xf>
    <xf numFmtId="0" fontId="31" fillId="0" borderId="0">
      <alignment horizontal="left" vertical="top"/>
    </xf>
    <xf numFmtId="0" fontId="33" fillId="0" borderId="0">
      <alignment horizontal="left" vertical="top"/>
    </xf>
    <xf numFmtId="0" fontId="30" fillId="0" borderId="0">
      <alignment horizontal="left" vertical="top"/>
    </xf>
    <xf numFmtId="0" fontId="33" fillId="0" borderId="0">
      <alignment horizontal="right" vertical="top"/>
    </xf>
    <xf numFmtId="0" fontId="31" fillId="0" borderId="0">
      <alignment horizontal="right" vertical="top"/>
    </xf>
    <xf numFmtId="0" fontId="32" fillId="0" borderId="0">
      <alignment horizontal="right" vertical="top"/>
    </xf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34" fillId="8" borderId="8" applyNumberFormat="0" applyAlignment="0" applyProtection="0"/>
    <xf numFmtId="0" fontId="3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34" fillId="8" borderId="8" applyNumberFormat="0" applyAlignment="0" applyProtection="0"/>
    <xf numFmtId="0" fontId="35" fillId="21" borderId="9" applyNumberFormat="0" applyAlignment="0" applyProtection="0"/>
    <xf numFmtId="0" fontId="35" fillId="21" borderId="9" applyNumberFormat="0" applyAlignment="0" applyProtection="0"/>
    <xf numFmtId="0" fontId="34" fillId="21" borderId="9" applyNumberFormat="0" applyAlignment="0" applyProtection="0"/>
    <xf numFmtId="0" fontId="34" fillId="21" borderId="9" applyNumberFormat="0" applyAlignment="0" applyProtection="0"/>
    <xf numFmtId="0" fontId="34" fillId="21" borderId="9" applyNumberFormat="0" applyAlignment="0" applyProtection="0"/>
    <xf numFmtId="0" fontId="34" fillId="21" borderId="9" applyNumberFormat="0" applyAlignment="0" applyProtection="0"/>
    <xf numFmtId="0" fontId="35" fillId="21" borderId="9" applyNumberFormat="0" applyAlignment="0" applyProtection="0"/>
    <xf numFmtId="0" fontId="36" fillId="21" borderId="8" applyNumberFormat="0" applyAlignment="0" applyProtection="0"/>
    <xf numFmtId="0" fontId="36" fillId="21" borderId="8" applyNumberFormat="0" applyAlignment="0" applyProtection="0"/>
    <xf numFmtId="0" fontId="35" fillId="21" borderId="8" applyNumberFormat="0" applyAlignment="0" applyProtection="0"/>
    <xf numFmtId="0" fontId="35" fillId="21" borderId="8" applyNumberFormat="0" applyAlignment="0" applyProtection="0"/>
    <xf numFmtId="0" fontId="35" fillId="21" borderId="8" applyNumberFormat="0" applyAlignment="0" applyProtection="0"/>
    <xf numFmtId="0" fontId="35" fillId="21" borderId="8" applyNumberFormat="0" applyAlignment="0" applyProtection="0"/>
    <xf numFmtId="0" fontId="36" fillId="21" borderId="8" applyNumberFormat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22" borderId="14" applyNumberFormat="0" applyAlignment="0" applyProtection="0"/>
    <xf numFmtId="0" fontId="41" fillId="22" borderId="14" applyNumberFormat="0" applyAlignment="0" applyProtection="0"/>
    <xf numFmtId="0" fontId="40" fillId="22" borderId="14" applyNumberFormat="0" applyAlignment="0" applyProtection="0"/>
    <xf numFmtId="0" fontId="40" fillId="22" borderId="14" applyNumberFormat="0" applyAlignment="0" applyProtection="0"/>
    <xf numFmtId="0" fontId="40" fillId="22" borderId="14" applyNumberFormat="0" applyAlignment="0" applyProtection="0"/>
    <xf numFmtId="0" fontId="40" fillId="22" borderId="14" applyNumberFormat="0" applyAlignment="0" applyProtection="0"/>
    <xf numFmtId="0" fontId="41" fillId="22" borderId="1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0" borderId="0"/>
    <xf numFmtId="0" fontId="23" fillId="0" borderId="0"/>
    <xf numFmtId="0" fontId="44" fillId="0" borderId="0">
      <alignment horizontal="center"/>
    </xf>
    <xf numFmtId="0" fontId="45" fillId="0" borderId="0">
      <alignment horizontal="center"/>
    </xf>
    <xf numFmtId="0" fontId="44" fillId="0" borderId="0">
      <alignment horizontal="center"/>
    </xf>
    <xf numFmtId="0" fontId="45" fillId="0" borderId="0">
      <alignment horizontal="center"/>
    </xf>
    <xf numFmtId="0" fontId="44" fillId="0" borderId="0">
      <alignment horizont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4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4" fillId="0" borderId="0">
      <alignment horizontal="center"/>
    </xf>
    <xf numFmtId="0" fontId="45" fillId="0" borderId="0">
      <alignment horizontal="center"/>
    </xf>
    <xf numFmtId="0" fontId="4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4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4" fillId="0" borderId="0">
      <alignment horizontal="center"/>
    </xf>
    <xf numFmtId="0" fontId="45" fillId="0" borderId="0">
      <alignment horizontal="center"/>
    </xf>
    <xf numFmtId="0" fontId="45" fillId="0" borderId="0"/>
    <xf numFmtId="0" fontId="23" fillId="0" borderId="0"/>
    <xf numFmtId="0" fontId="23" fillId="0" borderId="0"/>
    <xf numFmtId="0" fontId="45" fillId="0" borderId="0">
      <alignment horizontal="center"/>
    </xf>
    <xf numFmtId="0" fontId="45" fillId="0" borderId="0"/>
    <xf numFmtId="0" fontId="45" fillId="0" borderId="0"/>
    <xf numFmtId="0" fontId="45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26" fillId="0" borderId="0"/>
    <xf numFmtId="0" fontId="45" fillId="0" borderId="0">
      <alignment horizontal="center"/>
    </xf>
    <xf numFmtId="0" fontId="45" fillId="0" borderId="0">
      <alignment horizontal="center"/>
    </xf>
    <xf numFmtId="0" fontId="45" fillId="0" borderId="0"/>
    <xf numFmtId="0" fontId="45" fillId="0" borderId="0"/>
    <xf numFmtId="0" fontId="45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1" fillId="0" borderId="0"/>
    <xf numFmtId="0" fontId="23" fillId="0" borderId="0"/>
    <xf numFmtId="0" fontId="45" fillId="0" borderId="0"/>
    <xf numFmtId="0" fontId="45" fillId="0" borderId="0">
      <alignment horizontal="center"/>
    </xf>
    <xf numFmtId="0" fontId="45" fillId="0" borderId="0"/>
    <xf numFmtId="0" fontId="1" fillId="0" borderId="0"/>
    <xf numFmtId="0" fontId="45" fillId="0" borderId="0"/>
    <xf numFmtId="0" fontId="45" fillId="0" borderId="0"/>
    <xf numFmtId="0" fontId="44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23" fillId="0" borderId="0"/>
    <xf numFmtId="0" fontId="45" fillId="0" borderId="0">
      <alignment horizontal="center"/>
    </xf>
    <xf numFmtId="0" fontId="45" fillId="0" borderId="0"/>
    <xf numFmtId="0" fontId="45" fillId="0" borderId="0"/>
    <xf numFmtId="0" fontId="44" fillId="0" borderId="0"/>
    <xf numFmtId="0" fontId="45" fillId="0" borderId="0">
      <alignment horizontal="center"/>
    </xf>
    <xf numFmtId="0" fontId="44" fillId="0" borderId="0"/>
    <xf numFmtId="0" fontId="45" fillId="0" borderId="0">
      <alignment horizontal="center"/>
    </xf>
    <xf numFmtId="0" fontId="45" fillId="0" borderId="0">
      <alignment horizontal="center"/>
    </xf>
    <xf numFmtId="0" fontId="45" fillId="0" borderId="0"/>
    <xf numFmtId="0" fontId="45" fillId="0" borderId="0"/>
    <xf numFmtId="0" fontId="44" fillId="0" borderId="0"/>
    <xf numFmtId="0" fontId="45" fillId="0" borderId="0">
      <alignment horizontal="center"/>
    </xf>
    <xf numFmtId="0" fontId="44" fillId="0" borderId="0"/>
    <xf numFmtId="0" fontId="45" fillId="0" borderId="0">
      <alignment horizontal="center"/>
    </xf>
    <xf numFmtId="0" fontId="1" fillId="0" borderId="0"/>
    <xf numFmtId="0" fontId="1" fillId="0" borderId="0"/>
    <xf numFmtId="0" fontId="23" fillId="0" borderId="0"/>
    <xf numFmtId="0" fontId="46" fillId="0" borderId="0"/>
    <xf numFmtId="0" fontId="45" fillId="0" borderId="0">
      <alignment horizontal="center"/>
    </xf>
    <xf numFmtId="0" fontId="1" fillId="0" borderId="0"/>
    <xf numFmtId="0" fontId="44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4" fillId="0" borderId="0">
      <alignment horizontal="center"/>
    </xf>
    <xf numFmtId="0" fontId="23" fillId="0" borderId="0"/>
    <xf numFmtId="0" fontId="45" fillId="0" borderId="0"/>
    <xf numFmtId="0" fontId="1" fillId="0" borderId="0"/>
    <xf numFmtId="0" fontId="23" fillId="0" borderId="0"/>
    <xf numFmtId="0" fontId="45" fillId="0" borderId="0"/>
    <xf numFmtId="0" fontId="45" fillId="0" borderId="0">
      <alignment horizontal="center"/>
    </xf>
    <xf numFmtId="0" fontId="45" fillId="0" borderId="0">
      <alignment horizontal="center"/>
    </xf>
    <xf numFmtId="0" fontId="45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23" fillId="0" borderId="0"/>
    <xf numFmtId="0" fontId="45" fillId="0" borderId="0">
      <alignment horizontal="center"/>
    </xf>
    <xf numFmtId="0" fontId="45" fillId="0" borderId="0"/>
    <xf numFmtId="0" fontId="45" fillId="0" borderId="0">
      <alignment horizontal="center"/>
    </xf>
    <xf numFmtId="0" fontId="23" fillId="0" borderId="0"/>
    <xf numFmtId="0" fontId="1" fillId="0" borderId="0"/>
    <xf numFmtId="0" fontId="47" fillId="0" borderId="0">
      <alignment horizontal="left"/>
    </xf>
    <xf numFmtId="0" fontId="23" fillId="0" borderId="0"/>
    <xf numFmtId="0" fontId="1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4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4" fillId="0" borderId="0">
      <alignment horizontal="center"/>
    </xf>
    <xf numFmtId="0" fontId="45" fillId="0" borderId="0">
      <alignment horizontal="center"/>
    </xf>
    <xf numFmtId="0" fontId="47" fillId="0" borderId="0">
      <alignment horizontal="left"/>
    </xf>
    <xf numFmtId="0" fontId="23" fillId="0" borderId="0"/>
    <xf numFmtId="0" fontId="44" fillId="0" borderId="0">
      <alignment horizontal="center"/>
    </xf>
    <xf numFmtId="0" fontId="45" fillId="0" borderId="0"/>
    <xf numFmtId="0" fontId="1" fillId="0" borderId="0"/>
    <xf numFmtId="0" fontId="23" fillId="0" borderId="0"/>
    <xf numFmtId="0" fontId="45" fillId="0" borderId="0"/>
    <xf numFmtId="0" fontId="44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5" fillId="0" borderId="0"/>
    <xf numFmtId="0" fontId="44" fillId="0" borderId="0">
      <alignment horizontal="center"/>
    </xf>
    <xf numFmtId="0" fontId="23" fillId="0" borderId="0"/>
    <xf numFmtId="0" fontId="44" fillId="0" borderId="0"/>
    <xf numFmtId="0" fontId="23" fillId="0" borderId="0"/>
    <xf numFmtId="0" fontId="44" fillId="0" borderId="0"/>
    <xf numFmtId="0" fontId="44" fillId="0" borderId="0"/>
    <xf numFmtId="0" fontId="1" fillId="0" borderId="0"/>
    <xf numFmtId="0" fontId="23" fillId="0" borderId="0"/>
    <xf numFmtId="0" fontId="48" fillId="0" borderId="0"/>
    <xf numFmtId="0" fontId="45" fillId="0" borderId="0">
      <alignment horizontal="center"/>
    </xf>
    <xf numFmtId="0" fontId="45" fillId="0" borderId="0"/>
    <xf numFmtId="0" fontId="44" fillId="0" borderId="0"/>
    <xf numFmtId="0" fontId="45" fillId="0" borderId="0">
      <alignment horizontal="center"/>
    </xf>
    <xf numFmtId="0" fontId="44" fillId="0" borderId="0"/>
    <xf numFmtId="0" fontId="45" fillId="0" borderId="0">
      <alignment horizontal="center"/>
    </xf>
    <xf numFmtId="0" fontId="45" fillId="0" borderId="0">
      <alignment horizontal="center"/>
    </xf>
    <xf numFmtId="0" fontId="45" fillId="0" borderId="0"/>
    <xf numFmtId="0" fontId="45" fillId="0" borderId="0"/>
    <xf numFmtId="0" fontId="44" fillId="0" borderId="0"/>
    <xf numFmtId="0" fontId="45" fillId="0" borderId="0">
      <alignment horizontal="center"/>
    </xf>
    <xf numFmtId="0" fontId="44" fillId="0" borderId="0"/>
    <xf numFmtId="0" fontId="45" fillId="0" borderId="0">
      <alignment horizontal="center"/>
    </xf>
    <xf numFmtId="0" fontId="1" fillId="0" borderId="0"/>
    <xf numFmtId="0" fontId="49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9" fillId="0" borderId="0"/>
    <xf numFmtId="0" fontId="49" fillId="0" borderId="0"/>
    <xf numFmtId="0" fontId="1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45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4" fillId="0" borderId="0"/>
    <xf numFmtId="0" fontId="23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>
      <alignment horizontal="center"/>
    </xf>
    <xf numFmtId="0" fontId="47" fillId="0" borderId="0">
      <alignment horizontal="left"/>
    </xf>
    <xf numFmtId="0" fontId="45" fillId="0" borderId="0">
      <alignment horizontal="center"/>
    </xf>
    <xf numFmtId="0" fontId="45" fillId="0" borderId="0">
      <alignment horizontal="center"/>
    </xf>
    <xf numFmtId="0" fontId="45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3" fillId="0" borderId="0"/>
    <xf numFmtId="0" fontId="1" fillId="0" borderId="0"/>
    <xf numFmtId="0" fontId="45" fillId="0" borderId="0"/>
    <xf numFmtId="0" fontId="44" fillId="0" borderId="0">
      <alignment horizontal="center"/>
    </xf>
    <xf numFmtId="0" fontId="45" fillId="0" borderId="0">
      <alignment horizontal="center"/>
    </xf>
    <xf numFmtId="0" fontId="44" fillId="0" borderId="0">
      <alignment horizontal="center"/>
    </xf>
    <xf numFmtId="0" fontId="47" fillId="0" borderId="0">
      <alignment horizontal="left"/>
    </xf>
    <xf numFmtId="0" fontId="45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7" fillId="0" borderId="0">
      <alignment horizontal="left"/>
    </xf>
    <xf numFmtId="0" fontId="47" fillId="0" borderId="0">
      <alignment horizontal="left"/>
    </xf>
    <xf numFmtId="0" fontId="45" fillId="0" borderId="0">
      <alignment horizontal="center"/>
    </xf>
    <xf numFmtId="0" fontId="47" fillId="0" borderId="0">
      <alignment horizontal="left"/>
    </xf>
    <xf numFmtId="0" fontId="47" fillId="0" borderId="0">
      <alignment horizontal="left"/>
    </xf>
    <xf numFmtId="0" fontId="45" fillId="0" borderId="0"/>
    <xf numFmtId="0" fontId="45" fillId="0" borderId="0"/>
    <xf numFmtId="0" fontId="50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center"/>
    </xf>
    <xf numFmtId="0" fontId="3" fillId="0" borderId="0"/>
    <xf numFmtId="0" fontId="44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4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9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center"/>
    </xf>
    <xf numFmtId="0" fontId="49" fillId="0" borderId="0"/>
    <xf numFmtId="0" fontId="45" fillId="0" borderId="0"/>
    <xf numFmtId="0" fontId="45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4" fillId="0" borderId="0">
      <alignment horizontal="center"/>
    </xf>
    <xf numFmtId="0" fontId="45" fillId="0" borderId="0">
      <alignment horizontal="center"/>
    </xf>
    <xf numFmtId="0" fontId="45" fillId="0" borderId="0"/>
    <xf numFmtId="0" fontId="23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51" fillId="0" borderId="0"/>
    <xf numFmtId="0" fontId="45" fillId="0" borderId="0">
      <alignment horizontal="center"/>
    </xf>
    <xf numFmtId="0" fontId="44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4" fillId="0" borderId="0">
      <alignment horizontal="center"/>
    </xf>
    <xf numFmtId="0" fontId="45" fillId="0" borderId="0">
      <alignment horizontal="center"/>
    </xf>
    <xf numFmtId="0" fontId="45" fillId="0" borderId="0"/>
    <xf numFmtId="0" fontId="45" fillId="0" borderId="0"/>
    <xf numFmtId="0" fontId="45" fillId="0" borderId="0">
      <alignment horizontal="center"/>
    </xf>
    <xf numFmtId="0" fontId="45" fillId="0" borderId="0">
      <alignment horizontal="center"/>
    </xf>
    <xf numFmtId="0" fontId="44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4" fillId="0" borderId="0">
      <alignment horizontal="center"/>
    </xf>
    <xf numFmtId="0" fontId="45" fillId="0" borderId="0">
      <alignment horizontal="center"/>
    </xf>
    <xf numFmtId="0" fontId="45" fillId="0" borderId="0"/>
    <xf numFmtId="0" fontId="45" fillId="0" borderId="0"/>
    <xf numFmtId="0" fontId="1" fillId="0" borderId="0"/>
    <xf numFmtId="0" fontId="45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4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4" fillId="0" borderId="0">
      <alignment horizontal="center"/>
    </xf>
    <xf numFmtId="0" fontId="45" fillId="0" borderId="0">
      <alignment horizontal="center"/>
    </xf>
    <xf numFmtId="0" fontId="45" fillId="0" borderId="0"/>
    <xf numFmtId="0" fontId="45" fillId="0" borderId="0"/>
    <xf numFmtId="0" fontId="45" fillId="0" borderId="0">
      <alignment horizontal="center"/>
    </xf>
    <xf numFmtId="0" fontId="44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4" fillId="0" borderId="0">
      <alignment horizontal="center"/>
    </xf>
    <xf numFmtId="0" fontId="45" fillId="0" borderId="0">
      <alignment horizontal="center"/>
    </xf>
    <xf numFmtId="0" fontId="3" fillId="0" borderId="0"/>
    <xf numFmtId="0" fontId="45" fillId="0" borderId="0">
      <alignment horizontal="center"/>
    </xf>
    <xf numFmtId="3" fontId="52" fillId="24" borderId="1"/>
    <xf numFmtId="3" fontId="52" fillId="24" borderId="1"/>
    <xf numFmtId="3" fontId="52" fillId="25" borderId="1"/>
    <xf numFmtId="3" fontId="52" fillId="25" borderId="1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26" borderId="15" applyNumberFormat="0" applyFont="0" applyAlignment="0" applyProtection="0"/>
    <xf numFmtId="0" fontId="45" fillId="26" borderId="15" applyNumberFormat="0" applyFont="0" applyAlignment="0" applyProtection="0"/>
    <xf numFmtId="0" fontId="21" fillId="26" borderId="15" applyNumberFormat="0" applyFont="0" applyAlignment="0" applyProtection="0"/>
    <xf numFmtId="0" fontId="21" fillId="26" borderId="15" applyNumberFormat="0" applyFont="0" applyAlignment="0" applyProtection="0"/>
    <xf numFmtId="0" fontId="21" fillId="26" borderId="15" applyNumberFormat="0" applyFont="0" applyAlignment="0" applyProtection="0"/>
    <xf numFmtId="0" fontId="21" fillId="26" borderId="15" applyNumberFormat="0" applyFont="0" applyAlignment="0" applyProtection="0"/>
    <xf numFmtId="0" fontId="44" fillId="26" borderId="15" applyNumberFormat="0" applyFont="0" applyAlignment="0" applyProtection="0"/>
    <xf numFmtId="0" fontId="45" fillId="26" borderId="15" applyNumberFormat="0" applyFont="0" applyAlignment="0" applyProtection="0"/>
    <xf numFmtId="0" fontId="45" fillId="26" borderId="15" applyNumberFormat="0" applyFont="0" applyAlignment="0" applyProtection="0"/>
    <xf numFmtId="0" fontId="44" fillId="26" borderId="15" applyNumberFormat="0" applyFont="0" applyAlignment="0" applyProtection="0"/>
    <xf numFmtId="0" fontId="45" fillId="26" borderId="15" applyNumberFormat="0" applyFont="0" applyAlignment="0" applyProtection="0"/>
    <xf numFmtId="0" fontId="23" fillId="26" borderId="15" applyNumberFormat="0" applyFont="0" applyAlignment="0" applyProtection="0"/>
    <xf numFmtId="0" fontId="23" fillId="26" borderId="15" applyNumberFormat="0" applyFont="0" applyAlignment="0" applyProtection="0"/>
    <xf numFmtId="0" fontId="23" fillId="26" borderId="15" applyNumberFormat="0" applyFont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0" borderId="16" applyNumberFormat="0" applyFill="0" applyAlignment="0" applyProtection="0"/>
    <xf numFmtId="0" fontId="21" fillId="0" borderId="0"/>
    <xf numFmtId="0" fontId="45" fillId="0" borderId="0">
      <alignment horizontal="center"/>
    </xf>
    <xf numFmtId="0" fontId="45" fillId="0" borderId="0">
      <alignment horizontal="center"/>
    </xf>
    <xf numFmtId="0" fontId="44" fillId="0" borderId="0">
      <alignment horizontal="center"/>
    </xf>
    <xf numFmtId="0" fontId="45" fillId="0" borderId="0">
      <alignment horizontal="center"/>
    </xf>
    <xf numFmtId="0" fontId="45" fillId="0" borderId="0">
      <alignment horizontal="center"/>
    </xf>
    <xf numFmtId="0" fontId="44" fillId="0" borderId="0">
      <alignment horizontal="center"/>
    </xf>
    <xf numFmtId="0" fontId="45" fillId="0" borderId="0">
      <alignment horizontal="center"/>
    </xf>
    <xf numFmtId="0" fontId="21" fillId="0" borderId="0"/>
    <xf numFmtId="0" fontId="45" fillId="0" borderId="0"/>
    <xf numFmtId="0" fontId="52" fillId="4" borderId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46" fillId="0" borderId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30" fillId="5" borderId="0" applyNumberFormat="0" applyBorder="0" applyAlignment="0" applyProtection="0"/>
    <xf numFmtId="0" fontId="2" fillId="2" borderId="0" applyNumberFormat="0" applyBorder="0" applyAlignment="0" applyProtection="0"/>
    <xf numFmtId="0" fontId="30" fillId="5" borderId="0" applyNumberFormat="0" applyBorder="0" applyAlignment="0" applyProtection="0"/>
  </cellStyleXfs>
  <cellXfs count="149">
    <xf numFmtId="0" fontId="0" fillId="0" borderId="0" xfId="0"/>
    <xf numFmtId="0" fontId="4" fillId="0" borderId="0" xfId="1" applyFont="1" applyFill="1"/>
    <xf numFmtId="4" fontId="4" fillId="0" borderId="0" xfId="1" applyNumberFormat="1" applyFont="1" applyFill="1"/>
    <xf numFmtId="164" fontId="4" fillId="0" borderId="0" xfId="1" applyNumberFormat="1" applyFont="1" applyFill="1"/>
    <xf numFmtId="1" fontId="4" fillId="0" borderId="0" xfId="1" applyNumberFormat="1" applyFont="1" applyFill="1"/>
    <xf numFmtId="0" fontId="5" fillId="0" borderId="0" xfId="1" applyFont="1" applyFill="1" applyAlignment="1">
      <alignment horizontal="center"/>
    </xf>
    <xf numFmtId="0" fontId="4" fillId="0" borderId="0" xfId="1" applyFont="1" applyFill="1" applyAlignment="1">
      <alignment vertical="center" shrinkToFi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shrinkToFit="1"/>
    </xf>
    <xf numFmtId="3" fontId="4" fillId="0" borderId="1" xfId="1" applyNumberFormat="1" applyFont="1" applyFill="1" applyBorder="1" applyAlignment="1">
      <alignment horizontal="center" vertical="center" shrinkToFit="1"/>
    </xf>
    <xf numFmtId="3" fontId="4" fillId="0" borderId="1" xfId="1" applyNumberFormat="1" applyFont="1" applyFill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1" fontId="4" fillId="0" borderId="1" xfId="1" applyNumberFormat="1" applyFont="1" applyFill="1" applyBorder="1" applyAlignment="1">
      <alignment vertical="center"/>
    </xf>
    <xf numFmtId="0" fontId="4" fillId="0" borderId="1" xfId="1" applyFont="1" applyFill="1" applyBorder="1"/>
    <xf numFmtId="0" fontId="6" fillId="0" borderId="1" xfId="1" applyFont="1" applyFill="1" applyBorder="1" applyAlignment="1">
      <alignment vertical="center" wrapText="1" shrinkToFit="1"/>
    </xf>
    <xf numFmtId="165" fontId="6" fillId="0" borderId="1" xfId="1" applyNumberFormat="1" applyFont="1" applyFill="1" applyBorder="1" applyAlignment="1">
      <alignment horizontal="center" vertical="center" shrinkToFit="1"/>
    </xf>
    <xf numFmtId="167" fontId="6" fillId="0" borderId="1" xfId="1" applyNumberFormat="1" applyFont="1" applyFill="1" applyBorder="1" applyAlignment="1">
      <alignment horizontal="center" vertical="center" shrinkToFit="1"/>
    </xf>
    <xf numFmtId="4" fontId="6" fillId="0" borderId="1" xfId="1" applyNumberFormat="1" applyFont="1" applyFill="1" applyBorder="1" applyAlignment="1">
      <alignment horizontal="center" vertical="center" shrinkToFit="1"/>
    </xf>
    <xf numFmtId="1" fontId="6" fillId="0" borderId="1" xfId="1" applyNumberFormat="1" applyFont="1" applyFill="1" applyBorder="1" applyAlignment="1">
      <alignment vertical="center"/>
    </xf>
    <xf numFmtId="14" fontId="4" fillId="0" borderId="1" xfId="1" applyNumberFormat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/>
    </xf>
    <xf numFmtId="4" fontId="4" fillId="0" borderId="1" xfId="1" applyNumberFormat="1" applyFont="1" applyFill="1" applyBorder="1"/>
    <xf numFmtId="164" fontId="4" fillId="0" borderId="1" xfId="1" applyNumberFormat="1" applyFont="1" applyFill="1" applyBorder="1"/>
    <xf numFmtId="1" fontId="4" fillId="0" borderId="1" xfId="1" applyNumberFormat="1" applyFont="1" applyFill="1" applyBorder="1"/>
    <xf numFmtId="14" fontId="4" fillId="0" borderId="2" xfId="1" applyNumberFormat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4" fontId="6" fillId="0" borderId="1" xfId="1" applyNumberFormat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164" fontId="6" fillId="0" borderId="1" xfId="1" applyNumberFormat="1" applyFont="1" applyFill="1" applyBorder="1" applyAlignment="1">
      <alignment horizontal="center" vertical="center" shrinkToFit="1"/>
    </xf>
    <xf numFmtId="14" fontId="4" fillId="0" borderId="2" xfId="1" applyNumberFormat="1" applyFont="1" applyFill="1" applyBorder="1" applyAlignment="1">
      <alignment horizontal="center" vertical="center" wrapText="1" shrinkToFit="1"/>
    </xf>
    <xf numFmtId="0" fontId="4" fillId="0" borderId="2" xfId="1" applyFont="1" applyFill="1" applyBorder="1" applyAlignment="1">
      <alignment horizontal="left" wrapText="1"/>
    </xf>
    <xf numFmtId="14" fontId="4" fillId="0" borderId="3" xfId="1" applyNumberFormat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3" fontId="4" fillId="0" borderId="1" xfId="1" applyNumberFormat="1" applyFont="1" applyFill="1" applyBorder="1"/>
    <xf numFmtId="0" fontId="4" fillId="0" borderId="3" xfId="1" applyFont="1" applyFill="1" applyBorder="1" applyAlignment="1">
      <alignment horizontal="left" wrapText="1"/>
    </xf>
    <xf numFmtId="14" fontId="4" fillId="0" borderId="4" xfId="1" applyNumberFormat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wrapText="1"/>
    </xf>
    <xf numFmtId="4" fontId="6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 wrapText="1" shrinkToFit="1"/>
    </xf>
    <xf numFmtId="0" fontId="4" fillId="0" borderId="0" xfId="1" applyFont="1" applyFill="1" applyAlignment="1">
      <alignment vertical="center"/>
    </xf>
    <xf numFmtId="4" fontId="6" fillId="0" borderId="1" xfId="1" applyNumberFormat="1" applyFont="1" applyFill="1" applyBorder="1" applyAlignment="1">
      <alignment vertical="center"/>
    </xf>
    <xf numFmtId="4" fontId="6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167" fontId="6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 wrapText="1"/>
    </xf>
    <xf numFmtId="4" fontId="4" fillId="0" borderId="1" xfId="1" applyNumberFormat="1" applyFont="1" applyFill="1" applyBorder="1" applyAlignment="1">
      <alignment horizontal="center"/>
    </xf>
    <xf numFmtId="16" fontId="4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/>
    <xf numFmtId="4" fontId="8" fillId="0" borderId="1" xfId="1" applyNumberFormat="1" applyFont="1" applyFill="1" applyBorder="1"/>
    <xf numFmtId="0" fontId="9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/>
    <xf numFmtId="4" fontId="7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 shrinkToFi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4" fontId="14" fillId="0" borderId="1" xfId="1" applyNumberFormat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/>
    <xf numFmtId="4" fontId="13" fillId="0" borderId="1" xfId="1" applyNumberFormat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top" wrapText="1"/>
    </xf>
    <xf numFmtId="168" fontId="14" fillId="0" borderId="1" xfId="1" applyNumberFormat="1" applyFont="1" applyFill="1" applyBorder="1" applyAlignment="1">
      <alignment horizontal="center" vertical="center"/>
    </xf>
    <xf numFmtId="4" fontId="14" fillId="0" borderId="1" xfId="1" applyNumberFormat="1" applyFont="1" applyFill="1" applyBorder="1"/>
    <xf numFmtId="49" fontId="4" fillId="0" borderId="2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horizontal="center" vertical="center" wrapText="1" shrinkToFit="1"/>
    </xf>
    <xf numFmtId="0" fontId="9" fillId="0" borderId="1" xfId="1" applyFont="1" applyFill="1" applyBorder="1" applyAlignment="1">
      <alignment vertical="top" wrapText="1"/>
    </xf>
    <xf numFmtId="4" fontId="4" fillId="0" borderId="1" xfId="1" applyNumberFormat="1" applyFont="1" applyFill="1" applyBorder="1" applyAlignment="1">
      <alignment horizontal="right"/>
    </xf>
    <xf numFmtId="0" fontId="4" fillId="0" borderId="3" xfId="1" applyFont="1" applyFill="1" applyBorder="1" applyAlignment="1">
      <alignment horizontal="center" vertical="center" wrapText="1" shrinkToFit="1"/>
    </xf>
    <xf numFmtId="165" fontId="7" fillId="0" borderId="1" xfId="1" applyNumberFormat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wrapText="1" shrinkToFit="1"/>
    </xf>
    <xf numFmtId="165" fontId="7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shrinkToFit="1"/>
    </xf>
    <xf numFmtId="165" fontId="4" fillId="0" borderId="1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164" fontId="6" fillId="0" borderId="1" xfId="1" applyNumberFormat="1" applyFont="1" applyFill="1" applyBorder="1" applyAlignment="1">
      <alignment vertical="center"/>
    </xf>
    <xf numFmtId="4" fontId="13" fillId="0" borderId="1" xfId="1" applyNumberFormat="1" applyFont="1" applyFill="1" applyBorder="1" applyAlignment="1">
      <alignment vertical="center"/>
    </xf>
    <xf numFmtId="164" fontId="6" fillId="0" borderId="1" xfId="1" applyNumberFormat="1" applyFont="1" applyFill="1" applyBorder="1"/>
    <xf numFmtId="4" fontId="13" fillId="0" borderId="1" xfId="1" applyNumberFormat="1" applyFont="1" applyFill="1" applyBorder="1"/>
    <xf numFmtId="0" fontId="15" fillId="0" borderId="1" xfId="2" applyFont="1" applyFill="1" applyBorder="1" applyAlignment="1">
      <alignment horizontal="right" vertical="top" wrapText="1"/>
    </xf>
    <xf numFmtId="0" fontId="7" fillId="0" borderId="1" xfId="1" applyFont="1" applyFill="1" applyBorder="1" applyAlignment="1">
      <alignment horizontal="center" vertical="top" wrapText="1"/>
    </xf>
    <xf numFmtId="4" fontId="6" fillId="0" borderId="1" xfId="1" applyNumberFormat="1" applyFont="1" applyFill="1" applyBorder="1" applyAlignment="1">
      <alignment horizontal="right" vertical="center"/>
    </xf>
    <xf numFmtId="4" fontId="13" fillId="0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/>
    </xf>
    <xf numFmtId="4" fontId="6" fillId="0" borderId="1" xfId="1" applyNumberFormat="1" applyFont="1" applyFill="1" applyBorder="1" applyAlignment="1">
      <alignment horizontal="right"/>
    </xf>
    <xf numFmtId="4" fontId="13" fillId="0" borderId="1" xfId="1" applyNumberFormat="1" applyFont="1" applyFill="1" applyBorder="1" applyAlignment="1">
      <alignment horizontal="right"/>
    </xf>
    <xf numFmtId="169" fontId="17" fillId="0" borderId="5" xfId="3" applyNumberFormat="1" applyFont="1" applyFill="1" applyBorder="1" applyAlignment="1" applyProtection="1">
      <alignment horizontal="right" vertical="center" wrapText="1"/>
    </xf>
    <xf numFmtId="170" fontId="17" fillId="0" borderId="5" xfId="4" applyNumberFormat="1" applyFont="1" applyFill="1" applyBorder="1" applyAlignment="1">
      <alignment horizontal="right" vertical="center" wrapText="1" shrinkToFit="1"/>
    </xf>
    <xf numFmtId="170" fontId="17" fillId="0" borderId="6" xfId="4" applyNumberFormat="1" applyFont="1" applyFill="1" applyBorder="1" applyAlignment="1">
      <alignment horizontal="right" vertical="center" wrapText="1" shrinkToFit="1"/>
    </xf>
    <xf numFmtId="170" fontId="17" fillId="0" borderId="1" xfId="4" applyNumberFormat="1" applyFont="1" applyFill="1" applyBorder="1" applyAlignment="1">
      <alignment horizontal="right" vertical="center" wrapText="1" shrinkToFit="1"/>
    </xf>
    <xf numFmtId="170" fontId="18" fillId="0" borderId="1" xfId="4" applyNumberFormat="1" applyFont="1" applyFill="1" applyBorder="1" applyAlignment="1">
      <alignment horizontal="right" vertical="center" wrapText="1" shrinkToFit="1"/>
    </xf>
    <xf numFmtId="0" fontId="19" fillId="0" borderId="1" xfId="1" applyFont="1" applyFill="1" applyBorder="1" applyAlignment="1">
      <alignment horizontal="center" vertical="top" wrapText="1"/>
    </xf>
    <xf numFmtId="165" fontId="19" fillId="0" borderId="1" xfId="1" applyNumberFormat="1" applyFont="1" applyFill="1" applyBorder="1" applyAlignment="1">
      <alignment horizontal="center" vertical="center"/>
    </xf>
    <xf numFmtId="0" fontId="19" fillId="0" borderId="1" xfId="1" applyFont="1" applyFill="1" applyBorder="1"/>
    <xf numFmtId="4" fontId="19" fillId="0" borderId="1" xfId="1" applyNumberFormat="1" applyFont="1" applyFill="1" applyBorder="1"/>
    <xf numFmtId="0" fontId="4" fillId="0" borderId="7" xfId="1" applyFont="1" applyFill="1" applyBorder="1"/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6" fillId="0" borderId="7" xfId="1" applyNumberFormat="1" applyFont="1" applyFill="1" applyBorder="1" applyAlignment="1">
      <alignment horizontal="center"/>
    </xf>
    <xf numFmtId="2" fontId="4" fillId="0" borderId="0" xfId="1" applyNumberFormat="1" applyFont="1" applyFill="1"/>
    <xf numFmtId="164" fontId="4" fillId="0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 vertical="center" shrinkToFit="1"/>
    </xf>
    <xf numFmtId="0" fontId="20" fillId="0" borderId="0" xfId="5" applyFont="1" applyFill="1" applyAlignment="1">
      <alignment horizontal="left"/>
    </xf>
    <xf numFmtId="0" fontId="20" fillId="0" borderId="0" xfId="5" applyFont="1" applyFill="1"/>
    <xf numFmtId="0" fontId="20" fillId="0" borderId="0" xfId="5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0" fontId="20" fillId="0" borderId="0" xfId="5" applyFont="1" applyFill="1" applyAlignment="1">
      <alignment horizontal="center"/>
    </xf>
    <xf numFmtId="0" fontId="14" fillId="0" borderId="0" xfId="592" applyFont="1"/>
    <xf numFmtId="0" fontId="14" fillId="0" borderId="0" xfId="592" applyFont="1" applyAlignment="1">
      <alignment horizontal="left" vertical="center" wrapText="1" shrinkToFit="1"/>
    </xf>
    <xf numFmtId="0" fontId="56" fillId="0" borderId="0" xfId="592" applyFont="1"/>
    <xf numFmtId="0" fontId="56" fillId="0" borderId="0" xfId="592" applyFont="1" applyAlignment="1">
      <alignment horizontal="center" vertical="center"/>
    </xf>
    <xf numFmtId="0" fontId="56" fillId="0" borderId="0" xfId="592" applyFont="1" applyAlignment="1">
      <alignment horizontal="center"/>
    </xf>
    <xf numFmtId="4" fontId="14" fillId="0" borderId="0" xfId="592" applyNumberFormat="1" applyFont="1"/>
    <xf numFmtId="3" fontId="14" fillId="0" borderId="0" xfId="592" applyNumberFormat="1" applyFont="1" applyAlignment="1">
      <alignment horizontal="center"/>
    </xf>
    <xf numFmtId="0" fontId="14" fillId="0" borderId="0" xfId="592" applyFont="1" applyAlignment="1">
      <alignment vertical="center" wrapText="1" shrinkToFit="1"/>
    </xf>
    <xf numFmtId="0" fontId="5" fillId="0" borderId="0" xfId="1" applyFont="1" applyFill="1" applyAlignment="1">
      <alignment horizontal="center"/>
    </xf>
    <xf numFmtId="166" fontId="6" fillId="0" borderId="1" xfId="1" applyNumberFormat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/>
    </xf>
  </cellXfs>
  <cellStyles count="811">
    <cellStyle name="_ЗРК№256 от 29.03.2010 прил1 рус" xfId="6"/>
    <cellStyle name="_ОТ АСИИ" xfId="7"/>
    <cellStyle name="_Перечень бип 2011-2013 гг 22.11.2010" xfId="8"/>
    <cellStyle name="_после корректоров Приложения 1-4, 6-11 (рус)" xfId="9"/>
    <cellStyle name="_Приложение 2 от 15.12.2010 г." xfId="10"/>
    <cellStyle name="_приложение 4 (рус)" xfId="11"/>
    <cellStyle name="_Прлиложения БИП рус,каз 1,20,21" xfId="12"/>
    <cellStyle name="_ПРОБЛЕМНЫЕ  2012-2014 (22.09.11)" xfId="13"/>
    <cellStyle name="_Свод численность на 2011 год 31.07.10" xfId="14"/>
    <cellStyle name="20% - Акцент1 2" xfId="15"/>
    <cellStyle name="20% - Акцент1 2 2" xfId="16"/>
    <cellStyle name="20% - Акцент1 2 2 2" xfId="17"/>
    <cellStyle name="20% - Акцент1 2 2 2 2" xfId="18"/>
    <cellStyle name="20% - Акцент1 2 2 3" xfId="19"/>
    <cellStyle name="20% - Акцент1 2 2_План финансирования на 2013 год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_Август по объектно" xfId="26"/>
    <cellStyle name="20% - Акцент1 3" xfId="27"/>
    <cellStyle name="20% - Акцент1 4" xfId="28"/>
    <cellStyle name="20% - Акцент2 2" xfId="29"/>
    <cellStyle name="20% - Акцент2 2 2" xfId="30"/>
    <cellStyle name="20% - Акцент2 2 2 2" xfId="31"/>
    <cellStyle name="20% - Акцент2 2 2 2 2" xfId="32"/>
    <cellStyle name="20% - Акцент2 2 2 3" xfId="33"/>
    <cellStyle name="20% - Акцент2 2 2_План финансирования на 2013 год" xfId="34"/>
    <cellStyle name="20% - Акцент2 2 3" xfId="35"/>
    <cellStyle name="20% - Акцент2 2 3 2" xfId="36"/>
    <cellStyle name="20% - Акцент2 2 4" xfId="37"/>
    <cellStyle name="20% - Акцент2 2 4 2" xfId="38"/>
    <cellStyle name="20% - Акцент2 2 5" xfId="39"/>
    <cellStyle name="20% - Акцент2 2_План финансирования на 2013 год" xfId="40"/>
    <cellStyle name="20% - Акцент2 3" xfId="41"/>
    <cellStyle name="20% - Акцент2 4" xfId="42"/>
    <cellStyle name="20% - Акцент3 2" xfId="43"/>
    <cellStyle name="20% - Акцент3 2 2" xfId="44"/>
    <cellStyle name="20% - Акцент3 2 2 2" xfId="45"/>
    <cellStyle name="20% - Акцент3 2 2 2 2" xfId="46"/>
    <cellStyle name="20% - Акцент3 2 2 3" xfId="47"/>
    <cellStyle name="20% - Акцент3 2 2_План финансирования на 2013 год" xfId="48"/>
    <cellStyle name="20% - Акцент3 2 3" xfId="49"/>
    <cellStyle name="20% - Акцент3 2 3 2" xfId="50"/>
    <cellStyle name="20% - Акцент3 2 4" xfId="51"/>
    <cellStyle name="20% - Акцент3 2 4 2" xfId="52"/>
    <cellStyle name="20% - Акцент3 2 5" xfId="53"/>
    <cellStyle name="20% - Акцент3 2_Август по объектно" xfId="54"/>
    <cellStyle name="20% - Акцент3 3" xfId="55"/>
    <cellStyle name="20% - Акцент3 4" xfId="56"/>
    <cellStyle name="20% - Акцент4 2" xfId="57"/>
    <cellStyle name="20% - Акцент4 2 2" xfId="58"/>
    <cellStyle name="20% - Акцент4 2 2 2" xfId="59"/>
    <cellStyle name="20% - Акцент4 2 2 2 2" xfId="60"/>
    <cellStyle name="20% - Акцент4 2 2 3" xfId="61"/>
    <cellStyle name="20% - Акцент4 2 2_План финансирования на 2013 год" xfId="62"/>
    <cellStyle name="20% - Акцент4 2 3" xfId="63"/>
    <cellStyle name="20% - Акцент4 2 3 2" xfId="64"/>
    <cellStyle name="20% - Акцент4 2 4" xfId="65"/>
    <cellStyle name="20% - Акцент4 2 4 2" xfId="66"/>
    <cellStyle name="20% - Акцент4 2 5" xfId="67"/>
    <cellStyle name="20% - Акцент4 2_План финансирования на 2013 год" xfId="68"/>
    <cellStyle name="20% - Акцент4 3" xfId="69"/>
    <cellStyle name="20% - Акцент4 4" xfId="70"/>
    <cellStyle name="20% - Акцент5 2" xfId="71"/>
    <cellStyle name="20% - Акцент5 2 2" xfId="72"/>
    <cellStyle name="20% - Акцент5 2 2 2" xfId="73"/>
    <cellStyle name="20% - Акцент5 2 2 2 2" xfId="74"/>
    <cellStyle name="20% - Акцент5 2 2 3" xfId="75"/>
    <cellStyle name="20% - Акцент5 2 2_План финансирования на 2013 год" xfId="76"/>
    <cellStyle name="20% - Акцент5 2 3" xfId="77"/>
    <cellStyle name="20% - Акцент5 2 3 2" xfId="78"/>
    <cellStyle name="20% - Акцент5 2 4" xfId="79"/>
    <cellStyle name="20% - Акцент5 2 4 2" xfId="80"/>
    <cellStyle name="20% - Акцент5 2 5" xfId="81"/>
    <cellStyle name="20% - Акцент5 2_План финансирования на 2013 год" xfId="82"/>
    <cellStyle name="20% - Акцент5 3" xfId="83"/>
    <cellStyle name="20% - Акцент5 4" xfId="84"/>
    <cellStyle name="20% - Акцент6 2" xfId="85"/>
    <cellStyle name="20% - Акцент6 2 2" xfId="86"/>
    <cellStyle name="20% - Акцент6 2 2 2" xfId="87"/>
    <cellStyle name="20% - Акцент6 2 2 2 2" xfId="88"/>
    <cellStyle name="20% - Акцент6 2 2 3" xfId="89"/>
    <cellStyle name="20% - Акцент6 2 2_План финансирования на 2013 год" xfId="90"/>
    <cellStyle name="20% - Акцент6 2 3" xfId="91"/>
    <cellStyle name="20% - Акцент6 2 3 2" xfId="92"/>
    <cellStyle name="20% - Акцент6 2 4" xfId="93"/>
    <cellStyle name="20% - Акцент6 2 4 2" xfId="94"/>
    <cellStyle name="20% - Акцент6 2 5" xfId="95"/>
    <cellStyle name="20% - Акцент6 2_Август по объектно" xfId="96"/>
    <cellStyle name="20% - Акцент6 3" xfId="97"/>
    <cellStyle name="20% - Акцент6 4" xfId="98"/>
    <cellStyle name="40% - Акцент1 2" xfId="99"/>
    <cellStyle name="40% - Акцент1 2 2" xfId="100"/>
    <cellStyle name="40% - Акцент1 2 2 2" xfId="101"/>
    <cellStyle name="40% - Акцент1 2 2 2 2" xfId="102"/>
    <cellStyle name="40% - Акцент1 2 2 3" xfId="103"/>
    <cellStyle name="40% - Акцент1 2 2_План финансирования на 2013 год" xfId="104"/>
    <cellStyle name="40% - Акцент1 2 3" xfId="105"/>
    <cellStyle name="40% - Акцент1 2 3 2" xfId="106"/>
    <cellStyle name="40% - Акцент1 2 4" xfId="107"/>
    <cellStyle name="40% - Акцент1 2 4 2" xfId="108"/>
    <cellStyle name="40% - Акцент1 2 5" xfId="109"/>
    <cellStyle name="40% - Акцент1 2_План финансирования на 2013 год" xfId="110"/>
    <cellStyle name="40% - Акцент1 3" xfId="111"/>
    <cellStyle name="40% - Акцент1 4" xfId="112"/>
    <cellStyle name="40% - Акцент2 2" xfId="113"/>
    <cellStyle name="40% - Акцент2 2 2" xfId="114"/>
    <cellStyle name="40% - Акцент2 2 2 2" xfId="115"/>
    <cellStyle name="40% - Акцент2 2 2 2 2" xfId="116"/>
    <cellStyle name="40% - Акцент2 2 2 3" xfId="117"/>
    <cellStyle name="40% - Акцент2 2 2_План финансирования на 2013 год" xfId="118"/>
    <cellStyle name="40% - Акцент2 2 3" xfId="119"/>
    <cellStyle name="40% - Акцент2 2 3 2" xfId="120"/>
    <cellStyle name="40% - Акцент2 2 4" xfId="121"/>
    <cellStyle name="40% - Акцент2 2 4 2" xfId="122"/>
    <cellStyle name="40% - Акцент2 2 5" xfId="123"/>
    <cellStyle name="40% - Акцент2 2_План финансирования на 2013 год" xfId="124"/>
    <cellStyle name="40% - Акцент2 3" xfId="125"/>
    <cellStyle name="40% - Акцент2 4" xfId="126"/>
    <cellStyle name="40% - Акцент3 2" xfId="127"/>
    <cellStyle name="40% - Акцент3 2 2" xfId="128"/>
    <cellStyle name="40% - Акцент3 2 2 2" xfId="129"/>
    <cellStyle name="40% - Акцент3 2 2 2 2" xfId="130"/>
    <cellStyle name="40% - Акцент3 2 2 3" xfId="131"/>
    <cellStyle name="40% - Акцент3 2 2_План финансирования на 2013 год" xfId="132"/>
    <cellStyle name="40% - Акцент3 2 3" xfId="133"/>
    <cellStyle name="40% - Акцент3 2 3 2" xfId="134"/>
    <cellStyle name="40% - Акцент3 2 4" xfId="135"/>
    <cellStyle name="40% - Акцент3 2 4 2" xfId="136"/>
    <cellStyle name="40% - Акцент3 2 5" xfId="137"/>
    <cellStyle name="40% - Акцент3 2_Август по объектно" xfId="138"/>
    <cellStyle name="40% - Акцент3 3" xfId="139"/>
    <cellStyle name="40% - Акцент3 4" xfId="140"/>
    <cellStyle name="40% - Акцент4 2" xfId="141"/>
    <cellStyle name="40% - Акцент4 2 2" xfId="142"/>
    <cellStyle name="40% - Акцент4 2 2 2" xfId="143"/>
    <cellStyle name="40% - Акцент4 2 2 2 2" xfId="144"/>
    <cellStyle name="40% - Акцент4 2 2 3" xfId="145"/>
    <cellStyle name="40% - Акцент4 2 2_План финансирования на 2013 год" xfId="146"/>
    <cellStyle name="40% - Акцент4 2 3" xfId="147"/>
    <cellStyle name="40% - Акцент4 2 3 2" xfId="148"/>
    <cellStyle name="40% - Акцент4 2 4" xfId="149"/>
    <cellStyle name="40% - Акцент4 2 4 2" xfId="150"/>
    <cellStyle name="40% - Акцент4 2 5" xfId="151"/>
    <cellStyle name="40% - Акцент4 2_План финансирования на 2013 год" xfId="152"/>
    <cellStyle name="40% - Акцент4 3" xfId="153"/>
    <cellStyle name="40% - Акцент4 4" xfId="154"/>
    <cellStyle name="40% - Акцент5 2" xfId="155"/>
    <cellStyle name="40% - Акцент5 2 2" xfId="156"/>
    <cellStyle name="40% - Акцент5 2 2 2" xfId="157"/>
    <cellStyle name="40% - Акцент5 2 2 2 2" xfId="158"/>
    <cellStyle name="40% - Акцент5 2 2 3" xfId="159"/>
    <cellStyle name="40% - Акцент5 2 2_План финансирования на 2013 год" xfId="160"/>
    <cellStyle name="40% - Акцент5 2 3" xfId="161"/>
    <cellStyle name="40% - Акцент5 2 3 2" xfId="162"/>
    <cellStyle name="40% - Акцент5 2 4" xfId="163"/>
    <cellStyle name="40% - Акцент5 2 4 2" xfId="164"/>
    <cellStyle name="40% - Акцент5 2 5" xfId="165"/>
    <cellStyle name="40% - Акцент5 2_План финансирования на 2013 год" xfId="166"/>
    <cellStyle name="40% - Акцент5 3" xfId="167"/>
    <cellStyle name="40% - Акцент5 4" xfId="168"/>
    <cellStyle name="40% - Акцент6 2" xfId="169"/>
    <cellStyle name="40% - Акцент6 2 2" xfId="170"/>
    <cellStyle name="40% - Акцент6 2 2 2" xfId="171"/>
    <cellStyle name="40% - Акцент6 2 2 2 2" xfId="172"/>
    <cellStyle name="40% - Акцент6 2 2 3" xfId="173"/>
    <cellStyle name="40% - Акцент6 2 2_План финансирования на 2013 год" xfId="174"/>
    <cellStyle name="40% - Акцент6 2 3" xfId="175"/>
    <cellStyle name="40% - Акцент6 2 3 2" xfId="176"/>
    <cellStyle name="40% - Акцент6 2 4" xfId="177"/>
    <cellStyle name="40% - Акцент6 2 4 2" xfId="178"/>
    <cellStyle name="40% - Акцент6 2 5" xfId="179"/>
    <cellStyle name="40% - Акцент6 2_План финансирования на 2013 год" xfId="180"/>
    <cellStyle name="40% - Акцент6 3" xfId="181"/>
    <cellStyle name="40% - Акцент6 4" xfId="182"/>
    <cellStyle name="60% - Акцент1 2" xfId="183"/>
    <cellStyle name="60% - Акцент1 2 2" xfId="184"/>
    <cellStyle name="60% - Акцент1 2 2 2" xfId="185"/>
    <cellStyle name="60% - Акцент1 2 3" xfId="186"/>
    <cellStyle name="60% - Акцент1 2 4" xfId="187"/>
    <cellStyle name="60% - Акцент1 2 5" xfId="188"/>
    <cellStyle name="60% - Акцент1 2_16 МСХ 13.09.11 с проблемными" xfId="189"/>
    <cellStyle name="60% - Акцент2 2" xfId="190"/>
    <cellStyle name="60% - Акцент2 2 2" xfId="191"/>
    <cellStyle name="60% - Акцент2 2 2 2" xfId="192"/>
    <cellStyle name="60% - Акцент2 2 3" xfId="193"/>
    <cellStyle name="60% - Акцент2 2 4" xfId="194"/>
    <cellStyle name="60% - Акцент2 2 5" xfId="195"/>
    <cellStyle name="60% - Акцент2 2_16 МСХ 13.09.11 с проблемными" xfId="196"/>
    <cellStyle name="60% - Акцент3 2" xfId="197"/>
    <cellStyle name="60% - Акцент3 2 2" xfId="198"/>
    <cellStyle name="60% - Акцент3 2 2 2" xfId="199"/>
    <cellStyle name="60% - Акцент3 2 3" xfId="200"/>
    <cellStyle name="60% - Акцент3 2 4" xfId="201"/>
    <cellStyle name="60% - Акцент3 2 5" xfId="202"/>
    <cellStyle name="60% - Акцент3 2_16 МСХ 13.09.11 с проблемными" xfId="203"/>
    <cellStyle name="60% - Акцент4 2" xfId="204"/>
    <cellStyle name="60% - Акцент4 2 2" xfId="205"/>
    <cellStyle name="60% - Акцент4 2 2 2" xfId="206"/>
    <cellStyle name="60% - Акцент4 2 3" xfId="207"/>
    <cellStyle name="60% - Акцент4 2 4" xfId="208"/>
    <cellStyle name="60% - Акцент4 2 5" xfId="209"/>
    <cellStyle name="60% - Акцент4 2_16 МСХ 13.09.11 с проблемными" xfId="210"/>
    <cellStyle name="60% - Акцент5 2" xfId="211"/>
    <cellStyle name="60% - Акцент5 2 2" xfId="212"/>
    <cellStyle name="60% - Акцент5 2 2 2" xfId="213"/>
    <cellStyle name="60% - Акцент5 2 3" xfId="214"/>
    <cellStyle name="60% - Акцент5 2 4" xfId="215"/>
    <cellStyle name="60% - Акцент5 2 5" xfId="216"/>
    <cellStyle name="60% - Акцент5 2_16 МСХ 13.09.11 с проблемными" xfId="217"/>
    <cellStyle name="60% - Акцент6 2" xfId="218"/>
    <cellStyle name="60% - Акцент6 2 2" xfId="219"/>
    <cellStyle name="60% - Акцент6 2 2 2" xfId="220"/>
    <cellStyle name="60% - Акцент6 2 3" xfId="221"/>
    <cellStyle name="60% - Акцент6 2 4" xfId="222"/>
    <cellStyle name="60% - Акцент6 2 5" xfId="223"/>
    <cellStyle name="60% - Акцент6 2_16 МСХ 13.09.11 с проблемными" xfId="224"/>
    <cellStyle name="Excel Built-in Comma" xfId="3"/>
    <cellStyle name="Excel Built-in Comma 2" xfId="225"/>
    <cellStyle name="Excel Built-in Normal" xfId="226"/>
    <cellStyle name="Excel Built-in Normal 2" xfId="227"/>
    <cellStyle name="Excel Built-in Normal 3" xfId="228"/>
    <cellStyle name="Excel Built-in Normal 4" xfId="4"/>
    <cellStyle name="Excel Built-in Normal 5" xfId="229"/>
    <cellStyle name="Heading" xfId="230"/>
    <cellStyle name="Heading1" xfId="231"/>
    <cellStyle name="Normal_Sheet1" xfId="232"/>
    <cellStyle name="Result" xfId="233"/>
    <cellStyle name="Result2" xfId="234"/>
    <cellStyle name="S0" xfId="235"/>
    <cellStyle name="S0 2" xfId="236"/>
    <cellStyle name="S1" xfId="237"/>
    <cellStyle name="S1 2" xfId="238"/>
    <cellStyle name="S10" xfId="239"/>
    <cellStyle name="S10 2" xfId="240"/>
    <cellStyle name="S2" xfId="241"/>
    <cellStyle name="S2 2" xfId="242"/>
    <cellStyle name="S3" xfId="243"/>
    <cellStyle name="S3 2" xfId="244"/>
    <cellStyle name="S4" xfId="245"/>
    <cellStyle name="S4 2" xfId="246"/>
    <cellStyle name="S4_16 МСХ 13.09.11 с проблемными" xfId="247"/>
    <cellStyle name="S5" xfId="248"/>
    <cellStyle name="S5 2" xfId="249"/>
    <cellStyle name="S5_16 МСХ 13.09.11 с проблемными" xfId="250"/>
    <cellStyle name="S6" xfId="251"/>
    <cellStyle name="S6 2" xfId="252"/>
    <cellStyle name="S7" xfId="253"/>
    <cellStyle name="S7 2" xfId="254"/>
    <cellStyle name="S8" xfId="255"/>
    <cellStyle name="S8 2" xfId="256"/>
    <cellStyle name="S9" xfId="257"/>
    <cellStyle name="S9 2" xfId="258"/>
    <cellStyle name="S9_ПРОБЛЕМНЫЕ  2012-2014 (22.09.11)" xfId="259"/>
    <cellStyle name="Акцент1 2" xfId="260"/>
    <cellStyle name="Акцент1 2 2" xfId="261"/>
    <cellStyle name="Акцент1 2 2 2" xfId="262"/>
    <cellStyle name="Акцент1 2 3" xfId="263"/>
    <cellStyle name="Акцент1 2 4" xfId="264"/>
    <cellStyle name="Акцент1 2 5" xfId="265"/>
    <cellStyle name="Акцент1 2_16 МСХ 13.09.11 с проблемными" xfId="266"/>
    <cellStyle name="Акцент2 2" xfId="267"/>
    <cellStyle name="Акцент2 2 2" xfId="268"/>
    <cellStyle name="Акцент2 2 2 2" xfId="269"/>
    <cellStyle name="Акцент2 2 3" xfId="270"/>
    <cellStyle name="Акцент2 2 4" xfId="271"/>
    <cellStyle name="Акцент2 2 5" xfId="272"/>
    <cellStyle name="Акцент2 2_16 МСХ 13.09.11 с проблемными" xfId="273"/>
    <cellStyle name="Акцент3 2" xfId="274"/>
    <cellStyle name="Акцент3 2 2" xfId="275"/>
    <cellStyle name="Акцент3 2 2 2" xfId="276"/>
    <cellStyle name="Акцент3 2 3" xfId="277"/>
    <cellStyle name="Акцент3 2 4" xfId="278"/>
    <cellStyle name="Акцент3 2 5" xfId="279"/>
    <cellStyle name="Акцент3 2_16 МСХ 13.09.11 с проблемными" xfId="280"/>
    <cellStyle name="Акцент4 2" xfId="281"/>
    <cellStyle name="Акцент4 2 2" xfId="282"/>
    <cellStyle name="Акцент4 2 2 2" xfId="283"/>
    <cellStyle name="Акцент4 2 3" xfId="284"/>
    <cellStyle name="Акцент4 2 4" xfId="285"/>
    <cellStyle name="Акцент4 2 5" xfId="286"/>
    <cellStyle name="Акцент4 2_16 МСХ 13.09.11 с проблемными" xfId="287"/>
    <cellStyle name="Акцент5 2" xfId="288"/>
    <cellStyle name="Акцент5 2 2" xfId="289"/>
    <cellStyle name="Акцент5 2 2 2" xfId="290"/>
    <cellStyle name="Акцент5 2 3" xfId="291"/>
    <cellStyle name="Акцент5 2 4" xfId="292"/>
    <cellStyle name="Акцент5 2 5" xfId="293"/>
    <cellStyle name="Акцент5 2_16 МСХ 13.09.11 с проблемными" xfId="294"/>
    <cellStyle name="Акцент6 2" xfId="295"/>
    <cellStyle name="Акцент6 2 2" xfId="296"/>
    <cellStyle name="Акцент6 2 2 2" xfId="297"/>
    <cellStyle name="Акцент6 2 3" xfId="298"/>
    <cellStyle name="Акцент6 2 4" xfId="299"/>
    <cellStyle name="Акцент6 2 5" xfId="300"/>
    <cellStyle name="Акцент6 2_16 МСХ 13.09.11 с проблемными" xfId="301"/>
    <cellStyle name="Ввод  2" xfId="302"/>
    <cellStyle name="Ввод  2 2" xfId="303"/>
    <cellStyle name="Ввод  2 2 2" xfId="304"/>
    <cellStyle name="Ввод  2 3" xfId="305"/>
    <cellStyle name="Ввод  2 4" xfId="306"/>
    <cellStyle name="Ввод  2 5" xfId="307"/>
    <cellStyle name="Ввод  2_Электроэнергия" xfId="308"/>
    <cellStyle name="Вывод 2" xfId="309"/>
    <cellStyle name="Вывод 2 2" xfId="310"/>
    <cellStyle name="Вывод 2 2 2" xfId="311"/>
    <cellStyle name="Вывод 2 3" xfId="312"/>
    <cellStyle name="Вывод 2 4" xfId="313"/>
    <cellStyle name="Вывод 2 5" xfId="314"/>
    <cellStyle name="Вывод 2_Электроэнергия" xfId="315"/>
    <cellStyle name="Вычисление 2" xfId="316"/>
    <cellStyle name="Вычисление 2 2" xfId="317"/>
    <cellStyle name="Вычисление 2 2 2" xfId="318"/>
    <cellStyle name="Вычисление 2 3" xfId="319"/>
    <cellStyle name="Вычисление 2 4" xfId="320"/>
    <cellStyle name="Вычисление 2 5" xfId="321"/>
    <cellStyle name="Вычисление 2_Электроэнергия" xfId="322"/>
    <cellStyle name="Заголовок 1 2" xfId="323"/>
    <cellStyle name="Заголовок 1 2 2" xfId="324"/>
    <cellStyle name="Заголовок 1 2 2 2" xfId="325"/>
    <cellStyle name="Заголовок 1 2 3" xfId="326"/>
    <cellStyle name="Заголовок 1 2 4" xfId="327"/>
    <cellStyle name="Заголовок 1 2 5" xfId="328"/>
    <cellStyle name="Заголовок 1 2_Электроэнергия" xfId="329"/>
    <cellStyle name="Заголовок 2 2" xfId="330"/>
    <cellStyle name="Заголовок 2 2 2" xfId="331"/>
    <cellStyle name="Заголовок 2 2 2 2" xfId="332"/>
    <cellStyle name="Заголовок 2 2 3" xfId="333"/>
    <cellStyle name="Заголовок 2 2 4" xfId="334"/>
    <cellStyle name="Заголовок 2 2 5" xfId="335"/>
    <cellStyle name="Заголовок 2 2_Электроэнергия" xfId="336"/>
    <cellStyle name="Заголовок 3 2" xfId="337"/>
    <cellStyle name="Заголовок 3 2 2" xfId="338"/>
    <cellStyle name="Заголовок 3 2 2 2" xfId="339"/>
    <cellStyle name="Заголовок 3 2 3" xfId="340"/>
    <cellStyle name="Заголовок 3 2 4" xfId="341"/>
    <cellStyle name="Заголовок 3 2 5" xfId="342"/>
    <cellStyle name="Заголовок 3 2_Электроэнергия" xfId="343"/>
    <cellStyle name="Заголовок 4 2" xfId="344"/>
    <cellStyle name="Заголовок 4 2 2" xfId="345"/>
    <cellStyle name="Заголовок 4 2 2 2" xfId="346"/>
    <cellStyle name="Заголовок 4 2 3" xfId="347"/>
    <cellStyle name="Заголовок 4 2 4" xfId="348"/>
    <cellStyle name="Заголовок 4 2 5" xfId="349"/>
    <cellStyle name="Заголовок 4 2_Электроэнергия" xfId="350"/>
    <cellStyle name="Итог 2" xfId="351"/>
    <cellStyle name="Итог 2 2" xfId="352"/>
    <cellStyle name="Итог 2 2 2" xfId="353"/>
    <cellStyle name="Итог 2 2 3" xfId="354"/>
    <cellStyle name="Итог 2 2_Электроэнергия" xfId="355"/>
    <cellStyle name="Итог 2 3" xfId="356"/>
    <cellStyle name="Итог 2 3 2" xfId="357"/>
    <cellStyle name="Итог 2 4" xfId="358"/>
    <cellStyle name="Итог 2 5" xfId="359"/>
    <cellStyle name="Итог 2_Электроэнергия" xfId="360"/>
    <cellStyle name="Контрольная ячейка 2" xfId="361"/>
    <cellStyle name="Контрольная ячейка 2 2" xfId="362"/>
    <cellStyle name="Контрольная ячейка 2 2 2" xfId="363"/>
    <cellStyle name="Контрольная ячейка 2 3" xfId="364"/>
    <cellStyle name="Контрольная ячейка 2 4" xfId="365"/>
    <cellStyle name="Контрольная ячейка 2 5" xfId="366"/>
    <cellStyle name="Контрольная ячейка 2_Электроэнергия" xfId="367"/>
    <cellStyle name="Название 2" xfId="368"/>
    <cellStyle name="Название 2 2" xfId="369"/>
    <cellStyle name="Название 2 2 2" xfId="370"/>
    <cellStyle name="Название 2 3" xfId="371"/>
    <cellStyle name="Название 2 4" xfId="372"/>
    <cellStyle name="Название 2 5" xfId="373"/>
    <cellStyle name="Название 2_Электроэнергия" xfId="374"/>
    <cellStyle name="Нейтральный 2" xfId="375"/>
    <cellStyle name="Нейтральный 2 2" xfId="376"/>
    <cellStyle name="Нейтральный 2 2 2" xfId="377"/>
    <cellStyle name="Нейтральный 2 3" xfId="378"/>
    <cellStyle name="Нейтральный 2 4" xfId="379"/>
    <cellStyle name="Нейтральный 2 5" xfId="380"/>
    <cellStyle name="Нейтральный 2_Электроэнергия" xfId="381"/>
    <cellStyle name="Обычный" xfId="0" builtinId="0"/>
    <cellStyle name="Обычный 10" xfId="2"/>
    <cellStyle name="Обычный 10 2" xfId="382"/>
    <cellStyle name="Обычный 10 2 2" xfId="383"/>
    <cellStyle name="Обычный 10 3" xfId="384"/>
    <cellStyle name="Обычный 10 3 2" xfId="385"/>
    <cellStyle name="Обычный 10 3 3" xfId="386"/>
    <cellStyle name="Обычный 10 4" xfId="387"/>
    <cellStyle name="Обычный 10 5" xfId="388"/>
    <cellStyle name="Обычный 10 6" xfId="389"/>
    <cellStyle name="Обычный 10_Август по объектно" xfId="390"/>
    <cellStyle name="Обычный 11" xfId="391"/>
    <cellStyle name="Обычный 11 2" xfId="392"/>
    <cellStyle name="Обычный 11 2 2" xfId="393"/>
    <cellStyle name="Обычный 11 3" xfId="394"/>
    <cellStyle name="Обычный 11 3 2" xfId="395"/>
    <cellStyle name="Обычный 11 4" xfId="396"/>
    <cellStyle name="Обычный 11 4 2" xfId="397"/>
    <cellStyle name="Обычный 11 4 2 2" xfId="398"/>
    <cellStyle name="Обычный 11 4 3" xfId="399"/>
    <cellStyle name="Обычный 11 5" xfId="400"/>
    <cellStyle name="Обычный 11 6" xfId="401"/>
    <cellStyle name="Обычный 11 7" xfId="402"/>
    <cellStyle name="Обычный 11_Август по объектно" xfId="403"/>
    <cellStyle name="Обычный 12" xfId="404"/>
    <cellStyle name="Обычный 12 2" xfId="405"/>
    <cellStyle name="Обычный 12 2 2" xfId="406"/>
    <cellStyle name="Обычный 12 3" xfId="407"/>
    <cellStyle name="Обычный 12 3 2" xfId="408"/>
    <cellStyle name="Обычный 12 4" xfId="409"/>
    <cellStyle name="Обычный 12 4 2" xfId="410"/>
    <cellStyle name="Обычный 12 4 2 2" xfId="411"/>
    <cellStyle name="Обычный 12 4 3" xfId="412"/>
    <cellStyle name="Обычный 12 5" xfId="413"/>
    <cellStyle name="Обычный 12 6" xfId="414"/>
    <cellStyle name="Обычный 12 7" xfId="415"/>
    <cellStyle name="Обычный 12_Август по объектно" xfId="416"/>
    <cellStyle name="Обычный 13" xfId="417"/>
    <cellStyle name="Обычный 13 2" xfId="418"/>
    <cellStyle name="Обычный 13 2 2" xfId="419"/>
    <cellStyle name="Обычный 13 3" xfId="420"/>
    <cellStyle name="Обычный 13_Гидроузел на р.Тышкан" xfId="421"/>
    <cellStyle name="Обычный 14" xfId="422"/>
    <cellStyle name="Обычный 14 2" xfId="423"/>
    <cellStyle name="Обычный 14 3" xfId="424"/>
    <cellStyle name="Обычный 14_Гидроузел на р.Тышкан" xfId="425"/>
    <cellStyle name="Обычный 15" xfId="426"/>
    <cellStyle name="Обычный 15 2" xfId="427"/>
    <cellStyle name="Обычный 15 3" xfId="428"/>
    <cellStyle name="Обычный 15 4" xfId="429"/>
    <cellStyle name="Обычный 16" xfId="430"/>
    <cellStyle name="Обычный 16 2" xfId="431"/>
    <cellStyle name="Обычный 16 2 2" xfId="432"/>
    <cellStyle name="Обычный 16 3" xfId="433"/>
    <cellStyle name="Обычный 16 4" xfId="434"/>
    <cellStyle name="Обычный 16_Гидроузел на р.Тышкан" xfId="435"/>
    <cellStyle name="Обычный 17" xfId="436"/>
    <cellStyle name="Обычный 17 2" xfId="437"/>
    <cellStyle name="Обычный 17 2 2" xfId="438"/>
    <cellStyle name="Обычный 17 3" xfId="439"/>
    <cellStyle name="Обычный 17 3 2" xfId="440"/>
    <cellStyle name="Обычный 17 3 2 2" xfId="441"/>
    <cellStyle name="Обычный 17 3 3" xfId="442"/>
    <cellStyle name="Обычный 17 4" xfId="443"/>
    <cellStyle name="Обычный 17 4 2" xfId="444"/>
    <cellStyle name="Обычный 17 5" xfId="445"/>
    <cellStyle name="Обычный 18" xfId="446"/>
    <cellStyle name="Обычный 18 2" xfId="447"/>
    <cellStyle name="Обычный 18 2 2" xfId="448"/>
    <cellStyle name="Обычный 18 3" xfId="449"/>
    <cellStyle name="Обычный 18 3 2" xfId="450"/>
    <cellStyle name="Обычный 18 3 3" xfId="451"/>
    <cellStyle name="Обычный 18 4" xfId="452"/>
    <cellStyle name="Обычный 19" xfId="453"/>
    <cellStyle name="Обычный 19 2" xfId="454"/>
    <cellStyle name="Обычный 19 2 2" xfId="455"/>
    <cellStyle name="Обычный 19 3" xfId="456"/>
    <cellStyle name="Обычный 19 3 2" xfId="457"/>
    <cellStyle name="Обычный 19 3 3" xfId="458"/>
    <cellStyle name="Обычный 19 4" xfId="459"/>
    <cellStyle name="Обычный 2" xfId="460"/>
    <cellStyle name="Обычный 2 10" xfId="461"/>
    <cellStyle name="Обычный 2 10 2" xfId="462"/>
    <cellStyle name="Обычный 2 11" xfId="5"/>
    <cellStyle name="Обычный 2 12" xfId="1"/>
    <cellStyle name="Обычный 2 13" xfId="463"/>
    <cellStyle name="Обычный 2 2" xfId="464"/>
    <cellStyle name="Обычный 2 2 2" xfId="465"/>
    <cellStyle name="Обычный 2 2 2 2" xfId="466"/>
    <cellStyle name="Обычный 2 2 2 2 2" xfId="467"/>
    <cellStyle name="Обычный 2 2 2 2 2 2" xfId="468"/>
    <cellStyle name="Обычный 2 2 2 2 3" xfId="469"/>
    <cellStyle name="Обычный 2 2 2 3" xfId="470"/>
    <cellStyle name="Обычный 2 2 2 4" xfId="471"/>
    <cellStyle name="Обычный 2 2 2 6 2" xfId="472"/>
    <cellStyle name="Обычный 2 2 2_Гидроузел на р.Тышкан" xfId="473"/>
    <cellStyle name="Обычный 2 2 3" xfId="474"/>
    <cellStyle name="Обычный 2 2 3 2" xfId="475"/>
    <cellStyle name="Обычный 2 2 3 2 2" xfId="476"/>
    <cellStyle name="Обычный 2 2 3 3" xfId="477"/>
    <cellStyle name="Обычный 2 2 4" xfId="478"/>
    <cellStyle name="Обычный 2 2 4 2" xfId="479"/>
    <cellStyle name="Обычный 2 2 4 2 2" xfId="480"/>
    <cellStyle name="Обычный 2 2 4 3" xfId="481"/>
    <cellStyle name="Обычный 2 2 5" xfId="482"/>
    <cellStyle name="Обычный 2 2 6" xfId="483"/>
    <cellStyle name="Обычный 2 2 6 2" xfId="484"/>
    <cellStyle name="Обычный 2 2 7" xfId="485"/>
    <cellStyle name="Обычный 2 2_4 МСХ 27.07.11 переигровки" xfId="486"/>
    <cellStyle name="Обычный 2 3" xfId="487"/>
    <cellStyle name="Обычный 2 3 2" xfId="488"/>
    <cellStyle name="Обычный 2 3 3" xfId="489"/>
    <cellStyle name="Обычный 2 3 4" xfId="490"/>
    <cellStyle name="Обычный 2 3 4 2" xfId="491"/>
    <cellStyle name="Обычный 2 3 5" xfId="492"/>
    <cellStyle name="Обычный 2 3_Гидроузел на р.Тышкан" xfId="493"/>
    <cellStyle name="Обычный 2 4" xfId="494"/>
    <cellStyle name="Обычный 2 4 2" xfId="495"/>
    <cellStyle name="Обычный 2 4 2 2" xfId="496"/>
    <cellStyle name="Обычный 2 4 2 2 2" xfId="497"/>
    <cellStyle name="Обычный 2 4 2 3" xfId="498"/>
    <cellStyle name="Обычный 2 4 3" xfId="499"/>
    <cellStyle name="Обычный 2 4 4" xfId="500"/>
    <cellStyle name="Обычный 2 4 5" xfId="501"/>
    <cellStyle name="Обычный 2 4 6" xfId="502"/>
    <cellStyle name="Обычный 2 5" xfId="503"/>
    <cellStyle name="Обычный 2 5 2" xfId="504"/>
    <cellStyle name="Обычный 2 5 2 2" xfId="505"/>
    <cellStyle name="Обычный 2 5 3" xfId="506"/>
    <cellStyle name="Обычный 2 6" xfId="507"/>
    <cellStyle name="Обычный 2 6 2" xfId="508"/>
    <cellStyle name="Обычный 2 6 3" xfId="509"/>
    <cellStyle name="Обычный 2 6 3 2" xfId="510"/>
    <cellStyle name="Обычный 2 6 4" xfId="511"/>
    <cellStyle name="Обычный 2 6 5" xfId="512"/>
    <cellStyle name="Обычный 2 7" xfId="513"/>
    <cellStyle name="Обычный 2 7 2" xfId="514"/>
    <cellStyle name="Обычный 2 7 3" xfId="515"/>
    <cellStyle name="Обычный 2 8" xfId="516"/>
    <cellStyle name="Обычный 2 8 2" xfId="517"/>
    <cellStyle name="Обычный 2 9" xfId="518"/>
    <cellStyle name="Обычный 2 9 2" xfId="519"/>
    <cellStyle name="Обычный 2_16 МСХ 13.09.11 с проблемными" xfId="520"/>
    <cellStyle name="Обычный 20" xfId="521"/>
    <cellStyle name="Обычный 20 2" xfId="522"/>
    <cellStyle name="Обычный 20 3" xfId="523"/>
    <cellStyle name="Обычный 20 3 2" xfId="524"/>
    <cellStyle name="Обычный 20 3 3" xfId="525"/>
    <cellStyle name="Обычный 20 4" xfId="526"/>
    <cellStyle name="Обычный 21" xfId="527"/>
    <cellStyle name="Обычный 21 2" xfId="528"/>
    <cellStyle name="Обычный 21 2 2" xfId="529"/>
    <cellStyle name="Обычный 21 3" xfId="530"/>
    <cellStyle name="Обычный 21 3 2" xfId="531"/>
    <cellStyle name="Обычный 21 3 3" xfId="532"/>
    <cellStyle name="Обычный 21 4" xfId="533"/>
    <cellStyle name="Обычный 22" xfId="534"/>
    <cellStyle name="Обычный 22 2" xfId="535"/>
    <cellStyle name="Обычный 22 3" xfId="536"/>
    <cellStyle name="Обычный 22 3 2" xfId="537"/>
    <cellStyle name="Обычный 22 4" xfId="538"/>
    <cellStyle name="Обычный 23" xfId="539"/>
    <cellStyle name="Обычный 23 2" xfId="540"/>
    <cellStyle name="Обычный 23 2 2" xfId="541"/>
    <cellStyle name="Обычный 23 2 2 2" xfId="542"/>
    <cellStyle name="Обычный 23 2 2 3" xfId="543"/>
    <cellStyle name="Обычный 23 2 2 3 2" xfId="544"/>
    <cellStyle name="Обычный 23 2_План финансирования на 2013 год" xfId="545"/>
    <cellStyle name="Обычный 23 3" xfId="546"/>
    <cellStyle name="Обычный 23 4" xfId="547"/>
    <cellStyle name="Обычный 23 4 2" xfId="548"/>
    <cellStyle name="Обычный 23 4 2 2" xfId="549"/>
    <cellStyle name="Обычный 23 4 3" xfId="550"/>
    <cellStyle name="Обычный 23 5" xfId="551"/>
    <cellStyle name="Обычный 23 6" xfId="552"/>
    <cellStyle name="Обычный 23 7" xfId="553"/>
    <cellStyle name="Обычный 23_админ.расходы" xfId="554"/>
    <cellStyle name="Обычный 24" xfId="555"/>
    <cellStyle name="Обычный 24 2" xfId="556"/>
    <cellStyle name="Обычный 24 2 2" xfId="557"/>
    <cellStyle name="Обычный 24 3" xfId="558"/>
    <cellStyle name="Обычный 24 3 2" xfId="559"/>
    <cellStyle name="Обычный 24 4" xfId="560"/>
    <cellStyle name="Обычный 24 5" xfId="561"/>
    <cellStyle name="Обычный 24_админ.расходы" xfId="562"/>
    <cellStyle name="Обычный 25" xfId="563"/>
    <cellStyle name="Обычный 25 2" xfId="564"/>
    <cellStyle name="Обычный 25 2 2" xfId="565"/>
    <cellStyle name="Обычный 25 3" xfId="566"/>
    <cellStyle name="Обычный 25 3 2" xfId="567"/>
    <cellStyle name="Обычный 25 3 3" xfId="568"/>
    <cellStyle name="Обычный 26" xfId="569"/>
    <cellStyle name="Обычный 26 2" xfId="570"/>
    <cellStyle name="Обычный 26 2 2" xfId="571"/>
    <cellStyle name="Обычный 26 3" xfId="572"/>
    <cellStyle name="Обычный 27" xfId="573"/>
    <cellStyle name="Обычный 27 2" xfId="574"/>
    <cellStyle name="Обычный 27 2 2" xfId="575"/>
    <cellStyle name="Обычный 27 3" xfId="576"/>
    <cellStyle name="Обычный 28" xfId="577"/>
    <cellStyle name="Обычный 29" xfId="578"/>
    <cellStyle name="Обычный 29 2" xfId="579"/>
    <cellStyle name="Обычный 29 2 2" xfId="580"/>
    <cellStyle name="Обычный 29 3" xfId="581"/>
    <cellStyle name="Обычный 29 4" xfId="582"/>
    <cellStyle name="Обычный 3" xfId="583"/>
    <cellStyle name="Обычный 3 10" xfId="584"/>
    <cellStyle name="Обычный 3 11" xfId="585"/>
    <cellStyle name="Обычный 3 12" xfId="586"/>
    <cellStyle name="Обычный 3 2" xfId="587"/>
    <cellStyle name="Обычный 3 2 2" xfId="588"/>
    <cellStyle name="Обычный 3 2 2 2" xfId="589"/>
    <cellStyle name="Обычный 3 2 2 2 2" xfId="590"/>
    <cellStyle name="Обычный 3 2 2 3" xfId="591"/>
    <cellStyle name="Обычный 3 2 3" xfId="592"/>
    <cellStyle name="Обычный 3 2 3 2" xfId="593"/>
    <cellStyle name="Обычный 3 2 4" xfId="594"/>
    <cellStyle name="Обычный 3 2 5" xfId="595"/>
    <cellStyle name="Обычный 3 2 5 2" xfId="596"/>
    <cellStyle name="Обычный 3 2 6" xfId="597"/>
    <cellStyle name="Обычный 3 2 7" xfId="598"/>
    <cellStyle name="Обычный 3 2_Каратальская плотина" xfId="599"/>
    <cellStyle name="Обычный 3 3" xfId="600"/>
    <cellStyle name="Обычный 3 3 2" xfId="601"/>
    <cellStyle name="Обычный 3 3 3" xfId="602"/>
    <cellStyle name="Обычный 3 4" xfId="603"/>
    <cellStyle name="Обычный 3 5" xfId="604"/>
    <cellStyle name="Обычный 3 6" xfId="605"/>
    <cellStyle name="Обычный 3 7" xfId="606"/>
    <cellStyle name="Обычный 3 8" xfId="607"/>
    <cellStyle name="Обычный 3 9" xfId="608"/>
    <cellStyle name="Обычный 3 9 2" xfId="609"/>
    <cellStyle name="Обычный 3 9 3" xfId="610"/>
    <cellStyle name="Обычный 3_Гидроузел на р.Тышкан" xfId="611"/>
    <cellStyle name="Обычный 30" xfId="612"/>
    <cellStyle name="Обычный 31" xfId="613"/>
    <cellStyle name="Обычный 32" xfId="614"/>
    <cellStyle name="Обычный 33" xfId="615"/>
    <cellStyle name="Обычный 33 2" xfId="616"/>
    <cellStyle name="Обычный 34" xfId="617"/>
    <cellStyle name="Обычный 34 2" xfId="618"/>
    <cellStyle name="Обычный 34_План финансирования на 2013 год" xfId="619"/>
    <cellStyle name="Обычный 35" xfId="620"/>
    <cellStyle name="Обычный 35 2" xfId="621"/>
    <cellStyle name="Обычный 36" xfId="622"/>
    <cellStyle name="Обычный 37" xfId="623"/>
    <cellStyle name="Обычный 38" xfId="624"/>
    <cellStyle name="Обычный 39" xfId="625"/>
    <cellStyle name="Обычный 4" xfId="626"/>
    <cellStyle name="Обычный 4 2" xfId="627"/>
    <cellStyle name="Обычный 4 3" xfId="628"/>
    <cellStyle name="Обычный 4 3 2" xfId="629"/>
    <cellStyle name="Обычный 4 3 2 2" xfId="630"/>
    <cellStyle name="Обычный 4 3 3" xfId="631"/>
    <cellStyle name="Обычный 4 4" xfId="632"/>
    <cellStyle name="Обычный 4 4 2" xfId="633"/>
    <cellStyle name="Обычный 4 5" xfId="634"/>
    <cellStyle name="Обычный 4 6" xfId="635"/>
    <cellStyle name="Обычный 4_админ.расходы" xfId="636"/>
    <cellStyle name="Обычный 40" xfId="637"/>
    <cellStyle name="Обычный 41" xfId="638"/>
    <cellStyle name="Обычный 42" xfId="639"/>
    <cellStyle name="Обычный 43" xfId="640"/>
    <cellStyle name="Обычный 44" xfId="641"/>
    <cellStyle name="Обычный 45" xfId="642"/>
    <cellStyle name="Обычный 46" xfId="643"/>
    <cellStyle name="Обычный 47" xfId="644"/>
    <cellStyle name="Обычный 47 2" xfId="645"/>
    <cellStyle name="Обычный 47 3" xfId="646"/>
    <cellStyle name="Обычный 47 4" xfId="647"/>
    <cellStyle name="Обычный 48" xfId="648"/>
    <cellStyle name="Обычный 49" xfId="649"/>
    <cellStyle name="Обычный 5" xfId="650"/>
    <cellStyle name="Обычный 5 2" xfId="651"/>
    <cellStyle name="Обычный 5 2 2" xfId="652"/>
    <cellStyle name="Обычный 5 2 2 2" xfId="653"/>
    <cellStyle name="Обычный 5 2 3" xfId="654"/>
    <cellStyle name="Обычный 5 3" xfId="655"/>
    <cellStyle name="Обычный 5 4" xfId="656"/>
    <cellStyle name="Обычный 5 5" xfId="657"/>
    <cellStyle name="Обычный 5_Гидроузел на р.Тышкан" xfId="658"/>
    <cellStyle name="Обычный 50" xfId="659"/>
    <cellStyle name="Обычный 51" xfId="660"/>
    <cellStyle name="Обычный 52" xfId="661"/>
    <cellStyle name="Обычный 53" xfId="662"/>
    <cellStyle name="Обычный 53 2" xfId="663"/>
    <cellStyle name="Обычный 54" xfId="664"/>
    <cellStyle name="Обычный 55" xfId="665"/>
    <cellStyle name="Обычный 56" xfId="666"/>
    <cellStyle name="Обычный 57" xfId="667"/>
    <cellStyle name="Обычный 57 2" xfId="668"/>
    <cellStyle name="Обычный 58" xfId="669"/>
    <cellStyle name="Обычный 6" xfId="670"/>
    <cellStyle name="Обычный 6 2" xfId="671"/>
    <cellStyle name="Обычный 6 2 2" xfId="672"/>
    <cellStyle name="Обычный 6 2 2 2" xfId="673"/>
    <cellStyle name="Обычный 6 2 3" xfId="674"/>
    <cellStyle name="Обычный 6 3" xfId="675"/>
    <cellStyle name="Обычный 6 4" xfId="676"/>
    <cellStyle name="Обычный 6_Гидроузел на р.Тышкан" xfId="677"/>
    <cellStyle name="Обычный 60" xfId="678"/>
    <cellStyle name="Обычный 7" xfId="679"/>
    <cellStyle name="Обычный 7 2" xfId="680"/>
    <cellStyle name="Обычный 7 2 2" xfId="681"/>
    <cellStyle name="Обычный 7 2 2 2" xfId="682"/>
    <cellStyle name="Обычный 7 2 3" xfId="683"/>
    <cellStyle name="Обычный 7 3" xfId="684"/>
    <cellStyle name="Обычный 7 4" xfId="685"/>
    <cellStyle name="Обычный 7_Гидроузел на р.Тышкан" xfId="686"/>
    <cellStyle name="Обычный 71 5" xfId="687"/>
    <cellStyle name="Обычный 77" xfId="688"/>
    <cellStyle name="Обычный 78" xfId="689"/>
    <cellStyle name="Обычный 8" xfId="690"/>
    <cellStyle name="Обычный 8 2" xfId="691"/>
    <cellStyle name="Обычный 8 2 2" xfId="692"/>
    <cellStyle name="Обычный 8 2 2 2" xfId="693"/>
    <cellStyle name="Обычный 8 2 3" xfId="694"/>
    <cellStyle name="Обычный 8 3" xfId="695"/>
    <cellStyle name="Обычный 8 4" xfId="696"/>
    <cellStyle name="Обычный 8_Гидроузел на р.Тышкан" xfId="697"/>
    <cellStyle name="Обычный 9" xfId="698"/>
    <cellStyle name="Обычный 9 2" xfId="699"/>
    <cellStyle name="Обычный 9 2 2" xfId="700"/>
    <cellStyle name="Обычный 9 2 2 2" xfId="701"/>
    <cellStyle name="Обычный 9 2 3" xfId="702"/>
    <cellStyle name="Обычный 9 3" xfId="703"/>
    <cellStyle name="Обычный 9 4" xfId="704"/>
    <cellStyle name="Обычный 9_Каратальская плотина" xfId="705"/>
    <cellStyle name="Отличный" xfId="706"/>
    <cellStyle name="Отличный 2" xfId="707"/>
    <cellStyle name="Отличный 2 2" xfId="708"/>
    <cellStyle name="Отличный 3" xfId="709"/>
    <cellStyle name="Плохой 2" xfId="710"/>
    <cellStyle name="Плохой 2 2" xfId="711"/>
    <cellStyle name="Плохой 2 2 2" xfId="712"/>
    <cellStyle name="Плохой 2 3" xfId="713"/>
    <cellStyle name="Плохой 2 4" xfId="714"/>
    <cellStyle name="Плохой 2 5" xfId="715"/>
    <cellStyle name="Плохой 2_Электроэнергия" xfId="716"/>
    <cellStyle name="Пояснение 2" xfId="717"/>
    <cellStyle name="Пояснение 2 2" xfId="718"/>
    <cellStyle name="Пояснение 2 2 2" xfId="719"/>
    <cellStyle name="Пояснение 2 3" xfId="720"/>
    <cellStyle name="Пояснение 2 4" xfId="721"/>
    <cellStyle name="Пояснение 2 5" xfId="722"/>
    <cellStyle name="Пояснение 2_Электроэнергия" xfId="723"/>
    <cellStyle name="Примечание 2" xfId="724"/>
    <cellStyle name="Примечание 2 2" xfId="725"/>
    <cellStyle name="Примечание 2 2 2" xfId="726"/>
    <cellStyle name="Примечание 2 3" xfId="727"/>
    <cellStyle name="Примечание 2 4" xfId="728"/>
    <cellStyle name="Примечание 2 5" xfId="729"/>
    <cellStyle name="Примечание 3" xfId="730"/>
    <cellStyle name="Примечание 3 2" xfId="731"/>
    <cellStyle name="Примечание 3 2 2" xfId="732"/>
    <cellStyle name="Примечание 3 3" xfId="733"/>
    <cellStyle name="Примечание 4" xfId="734"/>
    <cellStyle name="Примечание 4 2" xfId="735"/>
    <cellStyle name="Примечание 5" xfId="736"/>
    <cellStyle name="Примечание 6" xfId="737"/>
    <cellStyle name="Процентный 2" xfId="738"/>
    <cellStyle name="Процентный 2 2" xfId="739"/>
    <cellStyle name="Процентный 2 2 2" xfId="740"/>
    <cellStyle name="Процентный 2 2 3" xfId="741"/>
    <cellStyle name="Процентный 2 3" xfId="742"/>
    <cellStyle name="Процентный 2 3 2" xfId="743"/>
    <cellStyle name="Процентный 2 4" xfId="744"/>
    <cellStyle name="Процентный 2 5" xfId="745"/>
    <cellStyle name="Процентный 3" xfId="746"/>
    <cellStyle name="Процентный 3 2" xfId="747"/>
    <cellStyle name="Процентный 3 2 2" xfId="748"/>
    <cellStyle name="Процентный 3 2 2 2" xfId="749"/>
    <cellStyle name="Процентный 3 2 3" xfId="750"/>
    <cellStyle name="Процентный 3 3" xfId="751"/>
    <cellStyle name="Процентный 3 3 2" xfId="752"/>
    <cellStyle name="Процентный 3 4" xfId="753"/>
    <cellStyle name="Процентный 3 4 2" xfId="754"/>
    <cellStyle name="Процентный 3 5" xfId="755"/>
    <cellStyle name="Процентный 3 5 2" xfId="756"/>
    <cellStyle name="Процентный 3 5 3" xfId="757"/>
    <cellStyle name="Процентный 4" xfId="758"/>
    <cellStyle name="Процентный 4 2" xfId="759"/>
    <cellStyle name="Процентный 4 3" xfId="760"/>
    <cellStyle name="Процентный 5" xfId="761"/>
    <cellStyle name="Процентный 5 2" xfId="762"/>
    <cellStyle name="Процентный 5 2 2" xfId="763"/>
    <cellStyle name="Процентный 6" xfId="764"/>
    <cellStyle name="Связанная ячейка 2" xfId="765"/>
    <cellStyle name="Связанная ячейка 2 2" xfId="766"/>
    <cellStyle name="Связанная ячейка 2 2 2" xfId="767"/>
    <cellStyle name="Связанная ячейка 2 3" xfId="768"/>
    <cellStyle name="Связанная ячейка 2 4" xfId="769"/>
    <cellStyle name="Связанная ячейка 2 5" xfId="770"/>
    <cellStyle name="Связанная ячейка 2_Электроэнергия" xfId="771"/>
    <cellStyle name="Стиль 1" xfId="772"/>
    <cellStyle name="Стиль 1 2" xfId="773"/>
    <cellStyle name="Стиль 1 2 2" xfId="774"/>
    <cellStyle name="Стиль 1 3" xfId="775"/>
    <cellStyle name="Стиль 1 3 2" xfId="776"/>
    <cellStyle name="Стиль 1 3 2 2" xfId="777"/>
    <cellStyle name="Стиль 1 3 3" xfId="778"/>
    <cellStyle name="Стиль 1 4" xfId="779"/>
    <cellStyle name="Стиль 1 5" xfId="780"/>
    <cellStyle name="Стиль 1_16 МСХ 13.09.11 с проблемными" xfId="781"/>
    <cellStyle name="Супер" xfId="782"/>
    <cellStyle name="Текст предупреждения 2" xfId="783"/>
    <cellStyle name="Текст предупреждения 2 2" xfId="784"/>
    <cellStyle name="Текст предупреждения 2 2 2" xfId="785"/>
    <cellStyle name="Текст предупреждения 2 3" xfId="786"/>
    <cellStyle name="Текст предупреждения 2 4" xfId="787"/>
    <cellStyle name="Текст предупреждения 2 5" xfId="788"/>
    <cellStyle name="Текст предупреждения 2_Электроэнергия" xfId="789"/>
    <cellStyle name="Финансовый 2" xfId="790"/>
    <cellStyle name="Финансовый 2 2" xfId="791"/>
    <cellStyle name="Финансовый 2 2 2" xfId="792"/>
    <cellStyle name="Финансовый 2 3" xfId="793"/>
    <cellStyle name="Финансовый 2 3 2" xfId="794"/>
    <cellStyle name="Финансовый 2 3 2 2" xfId="795"/>
    <cellStyle name="Финансовый 2 3 3" xfId="796"/>
    <cellStyle name="Финансовый 2 3 4" xfId="797"/>
    <cellStyle name="Финансовый 2 4" xfId="798"/>
    <cellStyle name="Финансовый 2 5" xfId="799"/>
    <cellStyle name="Финансовый 3" xfId="800"/>
    <cellStyle name="Финансовый 4" xfId="801"/>
    <cellStyle name="Хороший 2" xfId="802"/>
    <cellStyle name="Хороший 2 2" xfId="803"/>
    <cellStyle name="Хороший 2 2 2" xfId="804"/>
    <cellStyle name="Хороший 2 3" xfId="805"/>
    <cellStyle name="Хороший 2 4" xfId="806"/>
    <cellStyle name="Хороший 2 5" xfId="807"/>
    <cellStyle name="Хороший 2_Электроэнергия" xfId="808"/>
    <cellStyle name="Хороший 3" xfId="809"/>
    <cellStyle name="Хороший 3 2" xfId="8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at\&#1053;&#1072;&#1088;&#1080;&#1084;&#1072;&#1085;\AppData\Roaming\Microsoft\Excel\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tabSelected="1" workbookViewId="0">
      <pane ySplit="12" topLeftCell="A118" activePane="bottomLeft" state="frozen"/>
      <selection activeCell="A3" sqref="A3"/>
      <selection pane="bottomLeft" activeCell="C130" sqref="C130"/>
    </sheetView>
  </sheetViews>
  <sheetFormatPr defaultRowHeight="12.75"/>
  <cols>
    <col min="1" max="1" width="1.42578125" style="1" customWidth="1"/>
    <col min="2" max="2" width="6.42578125" style="1" customWidth="1"/>
    <col min="3" max="3" width="48.7109375" style="1" customWidth="1"/>
    <col min="4" max="4" width="8.5703125" style="1" customWidth="1"/>
    <col min="5" max="5" width="17" style="1" hidden="1" customWidth="1"/>
    <col min="6" max="7" width="9.140625" style="1" hidden="1" customWidth="1"/>
    <col min="8" max="8" width="11.5703125" style="2" hidden="1" customWidth="1"/>
    <col min="9" max="9" width="14.28515625" style="2" hidden="1" customWidth="1"/>
    <col min="10" max="10" width="15.140625" style="2" hidden="1" customWidth="1"/>
    <col min="11" max="14" width="15.42578125" style="2" hidden="1" customWidth="1"/>
    <col min="15" max="15" width="14.85546875" style="2" hidden="1" customWidth="1"/>
    <col min="16" max="16" width="13.7109375" style="3" hidden="1" customWidth="1"/>
    <col min="17" max="17" width="5.140625" style="4" hidden="1" customWidth="1"/>
    <col min="18" max="18" width="4.140625" style="4" hidden="1" customWidth="1"/>
    <col min="19" max="19" width="6" style="4" hidden="1" customWidth="1"/>
    <col min="20" max="20" width="12.85546875" style="2" customWidth="1"/>
    <col min="21" max="21" width="10.85546875" style="3" customWidth="1"/>
    <col min="22" max="22" width="11.140625" style="4" customWidth="1"/>
    <col min="23" max="23" width="33.42578125" style="1" customWidth="1"/>
    <col min="24" max="235" width="9.140625" style="1"/>
    <col min="236" max="236" width="1.42578125" style="1" customWidth="1"/>
    <col min="237" max="237" width="6.42578125" style="1" customWidth="1"/>
    <col min="238" max="238" width="48.7109375" style="1" customWidth="1"/>
    <col min="239" max="239" width="8.5703125" style="1" customWidth="1"/>
    <col min="240" max="240" width="10.7109375" style="1" bestFit="1" customWidth="1"/>
    <col min="241" max="491" width="9.140625" style="1"/>
    <col min="492" max="492" width="1.42578125" style="1" customWidth="1"/>
    <col min="493" max="493" width="6.42578125" style="1" customWidth="1"/>
    <col min="494" max="494" width="48.7109375" style="1" customWidth="1"/>
    <col min="495" max="495" width="8.5703125" style="1" customWidth="1"/>
    <col min="496" max="496" width="10.7109375" style="1" bestFit="1" customWidth="1"/>
    <col min="497" max="747" width="9.140625" style="1"/>
    <col min="748" max="748" width="1.42578125" style="1" customWidth="1"/>
    <col min="749" max="749" width="6.42578125" style="1" customWidth="1"/>
    <col min="750" max="750" width="48.7109375" style="1" customWidth="1"/>
    <col min="751" max="751" width="8.5703125" style="1" customWidth="1"/>
    <col min="752" max="752" width="10.7109375" style="1" bestFit="1" customWidth="1"/>
    <col min="753" max="1003" width="9.140625" style="1"/>
    <col min="1004" max="1004" width="1.42578125" style="1" customWidth="1"/>
    <col min="1005" max="1005" width="6.42578125" style="1" customWidth="1"/>
    <col min="1006" max="1006" width="48.7109375" style="1" customWidth="1"/>
    <col min="1007" max="1007" width="8.5703125" style="1" customWidth="1"/>
    <col min="1008" max="1008" width="10.7109375" style="1" bestFit="1" customWidth="1"/>
    <col min="1009" max="1259" width="9.140625" style="1"/>
    <col min="1260" max="1260" width="1.42578125" style="1" customWidth="1"/>
    <col min="1261" max="1261" width="6.42578125" style="1" customWidth="1"/>
    <col min="1262" max="1262" width="48.7109375" style="1" customWidth="1"/>
    <col min="1263" max="1263" width="8.5703125" style="1" customWidth="1"/>
    <col min="1264" max="1264" width="10.7109375" style="1" bestFit="1" customWidth="1"/>
    <col min="1265" max="1515" width="9.140625" style="1"/>
    <col min="1516" max="1516" width="1.42578125" style="1" customWidth="1"/>
    <col min="1517" max="1517" width="6.42578125" style="1" customWidth="1"/>
    <col min="1518" max="1518" width="48.7109375" style="1" customWidth="1"/>
    <col min="1519" max="1519" width="8.5703125" style="1" customWidth="1"/>
    <col min="1520" max="1520" width="10.7109375" style="1" bestFit="1" customWidth="1"/>
    <col min="1521" max="1771" width="9.140625" style="1"/>
    <col min="1772" max="1772" width="1.42578125" style="1" customWidth="1"/>
    <col min="1773" max="1773" width="6.42578125" style="1" customWidth="1"/>
    <col min="1774" max="1774" width="48.7109375" style="1" customWidth="1"/>
    <col min="1775" max="1775" width="8.5703125" style="1" customWidth="1"/>
    <col min="1776" max="1776" width="10.7109375" style="1" bestFit="1" customWidth="1"/>
    <col min="1777" max="2027" width="9.140625" style="1"/>
    <col min="2028" max="2028" width="1.42578125" style="1" customWidth="1"/>
    <col min="2029" max="2029" width="6.42578125" style="1" customWidth="1"/>
    <col min="2030" max="2030" width="48.7109375" style="1" customWidth="1"/>
    <col min="2031" max="2031" width="8.5703125" style="1" customWidth="1"/>
    <col min="2032" max="2032" width="10.7109375" style="1" bestFit="1" customWidth="1"/>
    <col min="2033" max="2283" width="9.140625" style="1"/>
    <col min="2284" max="2284" width="1.42578125" style="1" customWidth="1"/>
    <col min="2285" max="2285" width="6.42578125" style="1" customWidth="1"/>
    <col min="2286" max="2286" width="48.7109375" style="1" customWidth="1"/>
    <col min="2287" max="2287" width="8.5703125" style="1" customWidth="1"/>
    <col min="2288" max="2288" width="10.7109375" style="1" bestFit="1" customWidth="1"/>
    <col min="2289" max="2539" width="9.140625" style="1"/>
    <col min="2540" max="2540" width="1.42578125" style="1" customWidth="1"/>
    <col min="2541" max="2541" width="6.42578125" style="1" customWidth="1"/>
    <col min="2542" max="2542" width="48.7109375" style="1" customWidth="1"/>
    <col min="2543" max="2543" width="8.5703125" style="1" customWidth="1"/>
    <col min="2544" max="2544" width="10.7109375" style="1" bestFit="1" customWidth="1"/>
    <col min="2545" max="2795" width="9.140625" style="1"/>
    <col min="2796" max="2796" width="1.42578125" style="1" customWidth="1"/>
    <col min="2797" max="2797" width="6.42578125" style="1" customWidth="1"/>
    <col min="2798" max="2798" width="48.7109375" style="1" customWidth="1"/>
    <col min="2799" max="2799" width="8.5703125" style="1" customWidth="1"/>
    <col min="2800" max="2800" width="10.7109375" style="1" bestFit="1" customWidth="1"/>
    <col min="2801" max="3051" width="9.140625" style="1"/>
    <col min="3052" max="3052" width="1.42578125" style="1" customWidth="1"/>
    <col min="3053" max="3053" width="6.42578125" style="1" customWidth="1"/>
    <col min="3054" max="3054" width="48.7109375" style="1" customWidth="1"/>
    <col min="3055" max="3055" width="8.5703125" style="1" customWidth="1"/>
    <col min="3056" max="3056" width="10.7109375" style="1" bestFit="1" customWidth="1"/>
    <col min="3057" max="3307" width="9.140625" style="1"/>
    <col min="3308" max="3308" width="1.42578125" style="1" customWidth="1"/>
    <col min="3309" max="3309" width="6.42578125" style="1" customWidth="1"/>
    <col min="3310" max="3310" width="48.7109375" style="1" customWidth="1"/>
    <col min="3311" max="3311" width="8.5703125" style="1" customWidth="1"/>
    <col min="3312" max="3312" width="10.7109375" style="1" bestFit="1" customWidth="1"/>
    <col min="3313" max="3563" width="9.140625" style="1"/>
    <col min="3564" max="3564" width="1.42578125" style="1" customWidth="1"/>
    <col min="3565" max="3565" width="6.42578125" style="1" customWidth="1"/>
    <col min="3566" max="3566" width="48.7109375" style="1" customWidth="1"/>
    <col min="3567" max="3567" width="8.5703125" style="1" customWidth="1"/>
    <col min="3568" max="3568" width="10.7109375" style="1" bestFit="1" customWidth="1"/>
    <col min="3569" max="3819" width="9.140625" style="1"/>
    <col min="3820" max="3820" width="1.42578125" style="1" customWidth="1"/>
    <col min="3821" max="3821" width="6.42578125" style="1" customWidth="1"/>
    <col min="3822" max="3822" width="48.7109375" style="1" customWidth="1"/>
    <col min="3823" max="3823" width="8.5703125" style="1" customWidth="1"/>
    <col min="3824" max="3824" width="10.7109375" style="1" bestFit="1" customWidth="1"/>
    <col min="3825" max="4075" width="9.140625" style="1"/>
    <col min="4076" max="4076" width="1.42578125" style="1" customWidth="1"/>
    <col min="4077" max="4077" width="6.42578125" style="1" customWidth="1"/>
    <col min="4078" max="4078" width="48.7109375" style="1" customWidth="1"/>
    <col min="4079" max="4079" width="8.5703125" style="1" customWidth="1"/>
    <col min="4080" max="4080" width="10.7109375" style="1" bestFit="1" customWidth="1"/>
    <col min="4081" max="4331" width="9.140625" style="1"/>
    <col min="4332" max="4332" width="1.42578125" style="1" customWidth="1"/>
    <col min="4333" max="4333" width="6.42578125" style="1" customWidth="1"/>
    <col min="4334" max="4334" width="48.7109375" style="1" customWidth="1"/>
    <col min="4335" max="4335" width="8.5703125" style="1" customWidth="1"/>
    <col min="4336" max="4336" width="10.7109375" style="1" bestFit="1" customWidth="1"/>
    <col min="4337" max="4587" width="9.140625" style="1"/>
    <col min="4588" max="4588" width="1.42578125" style="1" customWidth="1"/>
    <col min="4589" max="4589" width="6.42578125" style="1" customWidth="1"/>
    <col min="4590" max="4590" width="48.7109375" style="1" customWidth="1"/>
    <col min="4591" max="4591" width="8.5703125" style="1" customWidth="1"/>
    <col min="4592" max="4592" width="10.7109375" style="1" bestFit="1" customWidth="1"/>
    <col min="4593" max="4843" width="9.140625" style="1"/>
    <col min="4844" max="4844" width="1.42578125" style="1" customWidth="1"/>
    <col min="4845" max="4845" width="6.42578125" style="1" customWidth="1"/>
    <col min="4846" max="4846" width="48.7109375" style="1" customWidth="1"/>
    <col min="4847" max="4847" width="8.5703125" style="1" customWidth="1"/>
    <col min="4848" max="4848" width="10.7109375" style="1" bestFit="1" customWidth="1"/>
    <col min="4849" max="5099" width="9.140625" style="1"/>
    <col min="5100" max="5100" width="1.42578125" style="1" customWidth="1"/>
    <col min="5101" max="5101" width="6.42578125" style="1" customWidth="1"/>
    <col min="5102" max="5102" width="48.7109375" style="1" customWidth="1"/>
    <col min="5103" max="5103" width="8.5703125" style="1" customWidth="1"/>
    <col min="5104" max="5104" width="10.7109375" style="1" bestFit="1" customWidth="1"/>
    <col min="5105" max="5355" width="9.140625" style="1"/>
    <col min="5356" max="5356" width="1.42578125" style="1" customWidth="1"/>
    <col min="5357" max="5357" width="6.42578125" style="1" customWidth="1"/>
    <col min="5358" max="5358" width="48.7109375" style="1" customWidth="1"/>
    <col min="5359" max="5359" width="8.5703125" style="1" customWidth="1"/>
    <col min="5360" max="5360" width="10.7109375" style="1" bestFit="1" customWidth="1"/>
    <col min="5361" max="5611" width="9.140625" style="1"/>
    <col min="5612" max="5612" width="1.42578125" style="1" customWidth="1"/>
    <col min="5613" max="5613" width="6.42578125" style="1" customWidth="1"/>
    <col min="5614" max="5614" width="48.7109375" style="1" customWidth="1"/>
    <col min="5615" max="5615" width="8.5703125" style="1" customWidth="1"/>
    <col min="5616" max="5616" width="10.7109375" style="1" bestFit="1" customWidth="1"/>
    <col min="5617" max="5867" width="9.140625" style="1"/>
    <col min="5868" max="5868" width="1.42578125" style="1" customWidth="1"/>
    <col min="5869" max="5869" width="6.42578125" style="1" customWidth="1"/>
    <col min="5870" max="5870" width="48.7109375" style="1" customWidth="1"/>
    <col min="5871" max="5871" width="8.5703125" style="1" customWidth="1"/>
    <col min="5872" max="5872" width="10.7109375" style="1" bestFit="1" customWidth="1"/>
    <col min="5873" max="6123" width="9.140625" style="1"/>
    <col min="6124" max="6124" width="1.42578125" style="1" customWidth="1"/>
    <col min="6125" max="6125" width="6.42578125" style="1" customWidth="1"/>
    <col min="6126" max="6126" width="48.7109375" style="1" customWidth="1"/>
    <col min="6127" max="6127" width="8.5703125" style="1" customWidth="1"/>
    <col min="6128" max="6128" width="10.7109375" style="1" bestFit="1" customWidth="1"/>
    <col min="6129" max="6379" width="9.140625" style="1"/>
    <col min="6380" max="6380" width="1.42578125" style="1" customWidth="1"/>
    <col min="6381" max="6381" width="6.42578125" style="1" customWidth="1"/>
    <col min="6382" max="6382" width="48.7109375" style="1" customWidth="1"/>
    <col min="6383" max="6383" width="8.5703125" style="1" customWidth="1"/>
    <col min="6384" max="6384" width="10.7109375" style="1" bestFit="1" customWidth="1"/>
    <col min="6385" max="6635" width="9.140625" style="1"/>
    <col min="6636" max="6636" width="1.42578125" style="1" customWidth="1"/>
    <col min="6637" max="6637" width="6.42578125" style="1" customWidth="1"/>
    <col min="6638" max="6638" width="48.7109375" style="1" customWidth="1"/>
    <col min="6639" max="6639" width="8.5703125" style="1" customWidth="1"/>
    <col min="6640" max="6640" width="10.7109375" style="1" bestFit="1" customWidth="1"/>
    <col min="6641" max="6891" width="9.140625" style="1"/>
    <col min="6892" max="6892" width="1.42578125" style="1" customWidth="1"/>
    <col min="6893" max="6893" width="6.42578125" style="1" customWidth="1"/>
    <col min="6894" max="6894" width="48.7109375" style="1" customWidth="1"/>
    <col min="6895" max="6895" width="8.5703125" style="1" customWidth="1"/>
    <col min="6896" max="6896" width="10.7109375" style="1" bestFit="1" customWidth="1"/>
    <col min="6897" max="7147" width="9.140625" style="1"/>
    <col min="7148" max="7148" width="1.42578125" style="1" customWidth="1"/>
    <col min="7149" max="7149" width="6.42578125" style="1" customWidth="1"/>
    <col min="7150" max="7150" width="48.7109375" style="1" customWidth="1"/>
    <col min="7151" max="7151" width="8.5703125" style="1" customWidth="1"/>
    <col min="7152" max="7152" width="10.7109375" style="1" bestFit="1" customWidth="1"/>
    <col min="7153" max="7403" width="9.140625" style="1"/>
    <col min="7404" max="7404" width="1.42578125" style="1" customWidth="1"/>
    <col min="7405" max="7405" width="6.42578125" style="1" customWidth="1"/>
    <col min="7406" max="7406" width="48.7109375" style="1" customWidth="1"/>
    <col min="7407" max="7407" width="8.5703125" style="1" customWidth="1"/>
    <col min="7408" max="7408" width="10.7109375" style="1" bestFit="1" customWidth="1"/>
    <col min="7409" max="7659" width="9.140625" style="1"/>
    <col min="7660" max="7660" width="1.42578125" style="1" customWidth="1"/>
    <col min="7661" max="7661" width="6.42578125" style="1" customWidth="1"/>
    <col min="7662" max="7662" width="48.7109375" style="1" customWidth="1"/>
    <col min="7663" max="7663" width="8.5703125" style="1" customWidth="1"/>
    <col min="7664" max="7664" width="10.7109375" style="1" bestFit="1" customWidth="1"/>
    <col min="7665" max="7915" width="9.140625" style="1"/>
    <col min="7916" max="7916" width="1.42578125" style="1" customWidth="1"/>
    <col min="7917" max="7917" width="6.42578125" style="1" customWidth="1"/>
    <col min="7918" max="7918" width="48.7109375" style="1" customWidth="1"/>
    <col min="7919" max="7919" width="8.5703125" style="1" customWidth="1"/>
    <col min="7920" max="7920" width="10.7109375" style="1" bestFit="1" customWidth="1"/>
    <col min="7921" max="8171" width="9.140625" style="1"/>
    <col min="8172" max="8172" width="1.42578125" style="1" customWidth="1"/>
    <col min="8173" max="8173" width="6.42578125" style="1" customWidth="1"/>
    <col min="8174" max="8174" width="48.7109375" style="1" customWidth="1"/>
    <col min="8175" max="8175" width="8.5703125" style="1" customWidth="1"/>
    <col min="8176" max="8176" width="10.7109375" style="1" bestFit="1" customWidth="1"/>
    <col min="8177" max="8427" width="9.140625" style="1"/>
    <col min="8428" max="8428" width="1.42578125" style="1" customWidth="1"/>
    <col min="8429" max="8429" width="6.42578125" style="1" customWidth="1"/>
    <col min="8430" max="8430" width="48.7109375" style="1" customWidth="1"/>
    <col min="8431" max="8431" width="8.5703125" style="1" customWidth="1"/>
    <col min="8432" max="8432" width="10.7109375" style="1" bestFit="1" customWidth="1"/>
    <col min="8433" max="8683" width="9.140625" style="1"/>
    <col min="8684" max="8684" width="1.42578125" style="1" customWidth="1"/>
    <col min="8685" max="8685" width="6.42578125" style="1" customWidth="1"/>
    <col min="8686" max="8686" width="48.7109375" style="1" customWidth="1"/>
    <col min="8687" max="8687" width="8.5703125" style="1" customWidth="1"/>
    <col min="8688" max="8688" width="10.7109375" style="1" bestFit="1" customWidth="1"/>
    <col min="8689" max="8939" width="9.140625" style="1"/>
    <col min="8940" max="8940" width="1.42578125" style="1" customWidth="1"/>
    <col min="8941" max="8941" width="6.42578125" style="1" customWidth="1"/>
    <col min="8942" max="8942" width="48.7109375" style="1" customWidth="1"/>
    <col min="8943" max="8943" width="8.5703125" style="1" customWidth="1"/>
    <col min="8944" max="8944" width="10.7109375" style="1" bestFit="1" customWidth="1"/>
    <col min="8945" max="9195" width="9.140625" style="1"/>
    <col min="9196" max="9196" width="1.42578125" style="1" customWidth="1"/>
    <col min="9197" max="9197" width="6.42578125" style="1" customWidth="1"/>
    <col min="9198" max="9198" width="48.7109375" style="1" customWidth="1"/>
    <col min="9199" max="9199" width="8.5703125" style="1" customWidth="1"/>
    <col min="9200" max="9200" width="10.7109375" style="1" bestFit="1" customWidth="1"/>
    <col min="9201" max="9451" width="9.140625" style="1"/>
    <col min="9452" max="9452" width="1.42578125" style="1" customWidth="1"/>
    <col min="9453" max="9453" width="6.42578125" style="1" customWidth="1"/>
    <col min="9454" max="9454" width="48.7109375" style="1" customWidth="1"/>
    <col min="9455" max="9455" width="8.5703125" style="1" customWidth="1"/>
    <col min="9456" max="9456" width="10.7109375" style="1" bestFit="1" customWidth="1"/>
    <col min="9457" max="9707" width="9.140625" style="1"/>
    <col min="9708" max="9708" width="1.42578125" style="1" customWidth="1"/>
    <col min="9709" max="9709" width="6.42578125" style="1" customWidth="1"/>
    <col min="9710" max="9710" width="48.7109375" style="1" customWidth="1"/>
    <col min="9711" max="9711" width="8.5703125" style="1" customWidth="1"/>
    <col min="9712" max="9712" width="10.7109375" style="1" bestFit="1" customWidth="1"/>
    <col min="9713" max="9963" width="9.140625" style="1"/>
    <col min="9964" max="9964" width="1.42578125" style="1" customWidth="1"/>
    <col min="9965" max="9965" width="6.42578125" style="1" customWidth="1"/>
    <col min="9966" max="9966" width="48.7109375" style="1" customWidth="1"/>
    <col min="9967" max="9967" width="8.5703125" style="1" customWidth="1"/>
    <col min="9968" max="9968" width="10.7109375" style="1" bestFit="1" customWidth="1"/>
    <col min="9969" max="10219" width="9.140625" style="1"/>
    <col min="10220" max="10220" width="1.42578125" style="1" customWidth="1"/>
    <col min="10221" max="10221" width="6.42578125" style="1" customWidth="1"/>
    <col min="10222" max="10222" width="48.7109375" style="1" customWidth="1"/>
    <col min="10223" max="10223" width="8.5703125" style="1" customWidth="1"/>
    <col min="10224" max="10224" width="10.7109375" style="1" bestFit="1" customWidth="1"/>
    <col min="10225" max="10475" width="9.140625" style="1"/>
    <col min="10476" max="10476" width="1.42578125" style="1" customWidth="1"/>
    <col min="10477" max="10477" width="6.42578125" style="1" customWidth="1"/>
    <col min="10478" max="10478" width="48.7109375" style="1" customWidth="1"/>
    <col min="10479" max="10479" width="8.5703125" style="1" customWidth="1"/>
    <col min="10480" max="10480" width="10.7109375" style="1" bestFit="1" customWidth="1"/>
    <col min="10481" max="10731" width="9.140625" style="1"/>
    <col min="10732" max="10732" width="1.42578125" style="1" customWidth="1"/>
    <col min="10733" max="10733" width="6.42578125" style="1" customWidth="1"/>
    <col min="10734" max="10734" width="48.7109375" style="1" customWidth="1"/>
    <col min="10735" max="10735" width="8.5703125" style="1" customWidth="1"/>
    <col min="10736" max="10736" width="10.7109375" style="1" bestFit="1" customWidth="1"/>
    <col min="10737" max="10987" width="9.140625" style="1"/>
    <col min="10988" max="10988" width="1.42578125" style="1" customWidth="1"/>
    <col min="10989" max="10989" width="6.42578125" style="1" customWidth="1"/>
    <col min="10990" max="10990" width="48.7109375" style="1" customWidth="1"/>
    <col min="10991" max="10991" width="8.5703125" style="1" customWidth="1"/>
    <col min="10992" max="10992" width="10.7109375" style="1" bestFit="1" customWidth="1"/>
    <col min="10993" max="11243" width="9.140625" style="1"/>
    <col min="11244" max="11244" width="1.42578125" style="1" customWidth="1"/>
    <col min="11245" max="11245" width="6.42578125" style="1" customWidth="1"/>
    <col min="11246" max="11246" width="48.7109375" style="1" customWidth="1"/>
    <col min="11247" max="11247" width="8.5703125" style="1" customWidth="1"/>
    <col min="11248" max="11248" width="10.7109375" style="1" bestFit="1" customWidth="1"/>
    <col min="11249" max="11499" width="9.140625" style="1"/>
    <col min="11500" max="11500" width="1.42578125" style="1" customWidth="1"/>
    <col min="11501" max="11501" width="6.42578125" style="1" customWidth="1"/>
    <col min="11502" max="11502" width="48.7109375" style="1" customWidth="1"/>
    <col min="11503" max="11503" width="8.5703125" style="1" customWidth="1"/>
    <col min="11504" max="11504" width="10.7109375" style="1" bestFit="1" customWidth="1"/>
    <col min="11505" max="11755" width="9.140625" style="1"/>
    <col min="11756" max="11756" width="1.42578125" style="1" customWidth="1"/>
    <col min="11757" max="11757" width="6.42578125" style="1" customWidth="1"/>
    <col min="11758" max="11758" width="48.7109375" style="1" customWidth="1"/>
    <col min="11759" max="11759" width="8.5703125" style="1" customWidth="1"/>
    <col min="11760" max="11760" width="10.7109375" style="1" bestFit="1" customWidth="1"/>
    <col min="11761" max="12011" width="9.140625" style="1"/>
    <col min="12012" max="12012" width="1.42578125" style="1" customWidth="1"/>
    <col min="12013" max="12013" width="6.42578125" style="1" customWidth="1"/>
    <col min="12014" max="12014" width="48.7109375" style="1" customWidth="1"/>
    <col min="12015" max="12015" width="8.5703125" style="1" customWidth="1"/>
    <col min="12016" max="12016" width="10.7109375" style="1" bestFit="1" customWidth="1"/>
    <col min="12017" max="12267" width="9.140625" style="1"/>
    <col min="12268" max="12268" width="1.42578125" style="1" customWidth="1"/>
    <col min="12269" max="12269" width="6.42578125" style="1" customWidth="1"/>
    <col min="12270" max="12270" width="48.7109375" style="1" customWidth="1"/>
    <col min="12271" max="12271" width="8.5703125" style="1" customWidth="1"/>
    <col min="12272" max="12272" width="10.7109375" style="1" bestFit="1" customWidth="1"/>
    <col min="12273" max="12523" width="9.140625" style="1"/>
    <col min="12524" max="12524" width="1.42578125" style="1" customWidth="1"/>
    <col min="12525" max="12525" width="6.42578125" style="1" customWidth="1"/>
    <col min="12526" max="12526" width="48.7109375" style="1" customWidth="1"/>
    <col min="12527" max="12527" width="8.5703125" style="1" customWidth="1"/>
    <col min="12528" max="12528" width="10.7109375" style="1" bestFit="1" customWidth="1"/>
    <col min="12529" max="12779" width="9.140625" style="1"/>
    <col min="12780" max="12780" width="1.42578125" style="1" customWidth="1"/>
    <col min="12781" max="12781" width="6.42578125" style="1" customWidth="1"/>
    <col min="12782" max="12782" width="48.7109375" style="1" customWidth="1"/>
    <col min="12783" max="12783" width="8.5703125" style="1" customWidth="1"/>
    <col min="12784" max="12784" width="10.7109375" style="1" bestFit="1" customWidth="1"/>
    <col min="12785" max="13035" width="9.140625" style="1"/>
    <col min="13036" max="13036" width="1.42578125" style="1" customWidth="1"/>
    <col min="13037" max="13037" width="6.42578125" style="1" customWidth="1"/>
    <col min="13038" max="13038" width="48.7109375" style="1" customWidth="1"/>
    <col min="13039" max="13039" width="8.5703125" style="1" customWidth="1"/>
    <col min="13040" max="13040" width="10.7109375" style="1" bestFit="1" customWidth="1"/>
    <col min="13041" max="13291" width="9.140625" style="1"/>
    <col min="13292" max="13292" width="1.42578125" style="1" customWidth="1"/>
    <col min="13293" max="13293" width="6.42578125" style="1" customWidth="1"/>
    <col min="13294" max="13294" width="48.7109375" style="1" customWidth="1"/>
    <col min="13295" max="13295" width="8.5703125" style="1" customWidth="1"/>
    <col min="13296" max="13296" width="10.7109375" style="1" bestFit="1" customWidth="1"/>
    <col min="13297" max="13547" width="9.140625" style="1"/>
    <col min="13548" max="13548" width="1.42578125" style="1" customWidth="1"/>
    <col min="13549" max="13549" width="6.42578125" style="1" customWidth="1"/>
    <col min="13550" max="13550" width="48.7109375" style="1" customWidth="1"/>
    <col min="13551" max="13551" width="8.5703125" style="1" customWidth="1"/>
    <col min="13552" max="13552" width="10.7109375" style="1" bestFit="1" customWidth="1"/>
    <col min="13553" max="13803" width="9.140625" style="1"/>
    <col min="13804" max="13804" width="1.42578125" style="1" customWidth="1"/>
    <col min="13805" max="13805" width="6.42578125" style="1" customWidth="1"/>
    <col min="13806" max="13806" width="48.7109375" style="1" customWidth="1"/>
    <col min="13807" max="13807" width="8.5703125" style="1" customWidth="1"/>
    <col min="13808" max="13808" width="10.7109375" style="1" bestFit="1" customWidth="1"/>
    <col min="13809" max="14059" width="9.140625" style="1"/>
    <col min="14060" max="14060" width="1.42578125" style="1" customWidth="1"/>
    <col min="14061" max="14061" width="6.42578125" style="1" customWidth="1"/>
    <col min="14062" max="14062" width="48.7109375" style="1" customWidth="1"/>
    <col min="14063" max="14063" width="8.5703125" style="1" customWidth="1"/>
    <col min="14064" max="14064" width="10.7109375" style="1" bestFit="1" customWidth="1"/>
    <col min="14065" max="14315" width="9.140625" style="1"/>
    <col min="14316" max="14316" width="1.42578125" style="1" customWidth="1"/>
    <col min="14317" max="14317" width="6.42578125" style="1" customWidth="1"/>
    <col min="14318" max="14318" width="48.7109375" style="1" customWidth="1"/>
    <col min="14319" max="14319" width="8.5703125" style="1" customWidth="1"/>
    <col min="14320" max="14320" width="10.7109375" style="1" bestFit="1" customWidth="1"/>
    <col min="14321" max="14571" width="9.140625" style="1"/>
    <col min="14572" max="14572" width="1.42578125" style="1" customWidth="1"/>
    <col min="14573" max="14573" width="6.42578125" style="1" customWidth="1"/>
    <col min="14574" max="14574" width="48.7109375" style="1" customWidth="1"/>
    <col min="14575" max="14575" width="8.5703125" style="1" customWidth="1"/>
    <col min="14576" max="14576" width="10.7109375" style="1" bestFit="1" customWidth="1"/>
    <col min="14577" max="14827" width="9.140625" style="1"/>
    <col min="14828" max="14828" width="1.42578125" style="1" customWidth="1"/>
    <col min="14829" max="14829" width="6.42578125" style="1" customWidth="1"/>
    <col min="14830" max="14830" width="48.7109375" style="1" customWidth="1"/>
    <col min="14831" max="14831" width="8.5703125" style="1" customWidth="1"/>
    <col min="14832" max="14832" width="10.7109375" style="1" bestFit="1" customWidth="1"/>
    <col min="14833" max="15083" width="9.140625" style="1"/>
    <col min="15084" max="15084" width="1.42578125" style="1" customWidth="1"/>
    <col min="15085" max="15085" width="6.42578125" style="1" customWidth="1"/>
    <col min="15086" max="15086" width="48.7109375" style="1" customWidth="1"/>
    <col min="15087" max="15087" width="8.5703125" style="1" customWidth="1"/>
    <col min="15088" max="15088" width="10.7109375" style="1" bestFit="1" customWidth="1"/>
    <col min="15089" max="15339" width="9.140625" style="1"/>
    <col min="15340" max="15340" width="1.42578125" style="1" customWidth="1"/>
    <col min="15341" max="15341" width="6.42578125" style="1" customWidth="1"/>
    <col min="15342" max="15342" width="48.7109375" style="1" customWidth="1"/>
    <col min="15343" max="15343" width="8.5703125" style="1" customWidth="1"/>
    <col min="15344" max="15344" width="10.7109375" style="1" bestFit="1" customWidth="1"/>
    <col min="15345" max="15595" width="9.140625" style="1"/>
    <col min="15596" max="15596" width="1.42578125" style="1" customWidth="1"/>
    <col min="15597" max="15597" width="6.42578125" style="1" customWidth="1"/>
    <col min="15598" max="15598" width="48.7109375" style="1" customWidth="1"/>
    <col min="15599" max="15599" width="8.5703125" style="1" customWidth="1"/>
    <col min="15600" max="15600" width="10.7109375" style="1" bestFit="1" customWidth="1"/>
    <col min="15601" max="15851" width="9.140625" style="1"/>
    <col min="15852" max="15852" width="1.42578125" style="1" customWidth="1"/>
    <col min="15853" max="15853" width="6.42578125" style="1" customWidth="1"/>
    <col min="15854" max="15854" width="48.7109375" style="1" customWidth="1"/>
    <col min="15855" max="15855" width="8.5703125" style="1" customWidth="1"/>
    <col min="15856" max="15856" width="10.7109375" style="1" bestFit="1" customWidth="1"/>
    <col min="15857" max="16107" width="9.140625" style="1"/>
    <col min="16108" max="16108" width="1.42578125" style="1" customWidth="1"/>
    <col min="16109" max="16109" width="6.42578125" style="1" customWidth="1"/>
    <col min="16110" max="16110" width="48.7109375" style="1" customWidth="1"/>
    <col min="16111" max="16111" width="8.5703125" style="1" customWidth="1"/>
    <col min="16112" max="16112" width="10.7109375" style="1" bestFit="1" customWidth="1"/>
    <col min="16113" max="16384" width="9.140625" style="1"/>
  </cols>
  <sheetData>
    <row r="1" spans="1:23" s="137" customFormat="1" ht="13.15" customHeight="1">
      <c r="A1" s="139"/>
      <c r="B1" s="140"/>
      <c r="C1" s="139"/>
      <c r="D1" s="141"/>
      <c r="E1" s="139"/>
      <c r="G1" s="142"/>
      <c r="H1" s="143"/>
    </row>
    <row r="2" spans="1:23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>
      <c r="B3" s="5" t="s">
        <v>200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</row>
    <row r="5" spans="1:23" s="139" customFormat="1" ht="15" customHeight="1">
      <c r="A5" s="144"/>
      <c r="B5" s="138" t="s">
        <v>199</v>
      </c>
      <c r="C5" s="138"/>
      <c r="D5" s="144"/>
      <c r="E5" s="144"/>
      <c r="F5" s="137"/>
      <c r="G5" s="142"/>
      <c r="H5" s="143"/>
      <c r="I5" s="137"/>
    </row>
    <row r="6" spans="1:23" s="139" customFormat="1" ht="15" customHeight="1">
      <c r="A6" s="144"/>
      <c r="B6" s="138" t="s">
        <v>196</v>
      </c>
      <c r="C6" s="138"/>
      <c r="D6" s="144"/>
      <c r="E6" s="144"/>
      <c r="F6" s="137"/>
      <c r="G6" s="142"/>
      <c r="H6" s="143"/>
      <c r="I6" s="137"/>
    </row>
    <row r="7" spans="1:23" s="139" customFormat="1" ht="15" customHeight="1">
      <c r="A7" s="144"/>
      <c r="B7" s="138" t="s">
        <v>197</v>
      </c>
      <c r="C7" s="138"/>
      <c r="D7" s="138"/>
      <c r="E7" s="138"/>
      <c r="F7" s="138"/>
      <c r="G7" s="144"/>
      <c r="H7" s="144"/>
      <c r="I7" s="137"/>
    </row>
    <row r="8" spans="1:23" s="139" customFormat="1" ht="28.5" customHeight="1">
      <c r="A8" s="144"/>
      <c r="B8" s="138" t="s">
        <v>201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</row>
    <row r="9" spans="1:23" s="139" customFormat="1" ht="31.5" customHeight="1">
      <c r="B9" s="138" t="s">
        <v>198</v>
      </c>
      <c r="C9" s="138"/>
      <c r="D9" s="138"/>
      <c r="E9" s="138"/>
      <c r="F9" s="138"/>
      <c r="G9" s="138"/>
      <c r="H9" s="138"/>
      <c r="I9" s="138"/>
    </row>
    <row r="10" spans="1:23"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</row>
    <row r="11" spans="1:23" ht="42.75" customHeight="1">
      <c r="A11" s="6"/>
      <c r="B11" s="7" t="s">
        <v>1</v>
      </c>
      <c r="C11" s="7" t="s">
        <v>2</v>
      </c>
      <c r="D11" s="7" t="s">
        <v>3</v>
      </c>
      <c r="E11" s="7" t="s">
        <v>4</v>
      </c>
      <c r="F11" s="8" t="s">
        <v>5</v>
      </c>
      <c r="G11" s="8" t="s">
        <v>6</v>
      </c>
      <c r="H11" s="9" t="s">
        <v>7</v>
      </c>
      <c r="I11" s="9" t="s">
        <v>8</v>
      </c>
      <c r="J11" s="9" t="s">
        <v>9</v>
      </c>
      <c r="K11" s="9" t="s">
        <v>10</v>
      </c>
      <c r="L11" s="9" t="s">
        <v>11</v>
      </c>
      <c r="M11" s="9" t="s">
        <v>12</v>
      </c>
      <c r="N11" s="9"/>
      <c r="O11" s="9" t="s">
        <v>13</v>
      </c>
      <c r="P11" s="10" t="s">
        <v>14</v>
      </c>
      <c r="Q11" s="11"/>
      <c r="R11" s="11"/>
      <c r="S11" s="11"/>
      <c r="T11" s="9" t="s">
        <v>15</v>
      </c>
      <c r="U11" s="10" t="s">
        <v>16</v>
      </c>
      <c r="V11" s="11" t="s">
        <v>17</v>
      </c>
      <c r="W11" s="11" t="s">
        <v>18</v>
      </c>
    </row>
    <row r="12" spans="1:23" s="15" customFormat="1">
      <c r="A12" s="12"/>
      <c r="B12" s="13">
        <v>1</v>
      </c>
      <c r="C12" s="13">
        <v>2</v>
      </c>
      <c r="D12" s="13">
        <v>3</v>
      </c>
      <c r="E12" s="13">
        <v>4</v>
      </c>
      <c r="F12" s="14"/>
      <c r="G12" s="14"/>
      <c r="H12" s="14"/>
      <c r="I12" s="14"/>
      <c r="J12" s="14"/>
      <c r="K12" s="14"/>
      <c r="L12" s="14"/>
      <c r="M12" s="14">
        <v>5</v>
      </c>
      <c r="N12" s="14"/>
      <c r="O12" s="14">
        <v>4</v>
      </c>
      <c r="P12" s="14">
        <v>5</v>
      </c>
      <c r="Q12" s="14">
        <v>6</v>
      </c>
      <c r="R12" s="14">
        <v>7</v>
      </c>
      <c r="S12" s="14">
        <v>8</v>
      </c>
      <c r="T12" s="14">
        <v>4</v>
      </c>
      <c r="U12" s="14">
        <v>5</v>
      </c>
      <c r="V12" s="14">
        <v>6</v>
      </c>
      <c r="W12" s="14">
        <v>7</v>
      </c>
    </row>
    <row r="13" spans="1:23" ht="25.5">
      <c r="A13" s="6"/>
      <c r="B13" s="7" t="s">
        <v>19</v>
      </c>
      <c r="C13" s="18" t="s">
        <v>20</v>
      </c>
      <c r="D13" s="7" t="s">
        <v>21</v>
      </c>
      <c r="E13" s="19">
        <f>E14+E24+E28+E31+E18-0.1</f>
        <v>45466.66</v>
      </c>
      <c r="F13" s="146">
        <f>F14+F24+F28+F31+F18</f>
        <v>0.72863173076923071</v>
      </c>
      <c r="G13" s="146"/>
      <c r="H13" s="21">
        <f>H14+H24+H28+H31+H18</f>
        <v>38617.481730769228</v>
      </c>
      <c r="I13" s="55">
        <f>I14+I18+I24+I28+I31</f>
        <v>36993.410000000003</v>
      </c>
      <c r="J13" s="55">
        <f>J14+J18+J24+J28+J31</f>
        <v>33285.817999999999</v>
      </c>
      <c r="K13" s="55">
        <f>K14+K18+K24+K28+K31</f>
        <v>32996.995000000003</v>
      </c>
      <c r="L13" s="55">
        <f>L14+L18+L24+L28+L31</f>
        <v>32756.755000000005</v>
      </c>
      <c r="M13" s="55">
        <f>M14+M18+M24+M28+M31</f>
        <v>24284.174999999999</v>
      </c>
      <c r="N13" s="55">
        <f t="shared" ref="N13:P13" si="0">N14+N18+N24+N28+N31</f>
        <v>0</v>
      </c>
      <c r="O13" s="55">
        <f t="shared" si="0"/>
        <v>37619.190999999999</v>
      </c>
      <c r="P13" s="55">
        <f t="shared" si="0"/>
        <v>47189.642999999996</v>
      </c>
      <c r="Q13" s="22">
        <f t="shared" ref="Q13:Q35" si="1">P13/O13*100</f>
        <v>125.44034506217849</v>
      </c>
      <c r="R13" s="22">
        <f t="shared" ref="R13:R35" si="2">100-Q13</f>
        <v>-25.440345062178494</v>
      </c>
      <c r="S13" s="22">
        <f t="shared" ref="S13:S34" si="3">O13-P13</f>
        <v>-9570.4519999999975</v>
      </c>
      <c r="T13" s="55">
        <f t="shared" ref="T13:U13" si="4">T14+T18+T24+T28+T31</f>
        <v>37619.190999999999</v>
      </c>
      <c r="U13" s="55">
        <f t="shared" si="4"/>
        <v>47189.642999999996</v>
      </c>
      <c r="V13" s="16">
        <f t="shared" ref="V13:V14" si="5">U13/T13*100</f>
        <v>125.44034506217849</v>
      </c>
      <c r="W13" s="17"/>
    </row>
    <row r="14" spans="1:23">
      <c r="A14" s="6"/>
      <c r="B14" s="7">
        <v>1</v>
      </c>
      <c r="C14" s="18" t="s">
        <v>22</v>
      </c>
      <c r="D14" s="7" t="s">
        <v>23</v>
      </c>
      <c r="E14" s="19">
        <f>E15+E16+E17+0.1</f>
        <v>3984.1099999999997</v>
      </c>
      <c r="F14" s="20">
        <f>F15+F16+F17</f>
        <v>6.3846314102564097E-2</v>
      </c>
      <c r="G14" s="20"/>
      <c r="H14" s="21">
        <f t="shared" ref="H14:P14" si="6">H15+H16+H17</f>
        <v>3383.8546474358973</v>
      </c>
      <c r="I14" s="21">
        <f t="shared" si="6"/>
        <v>2570</v>
      </c>
      <c r="J14" s="21">
        <f t="shared" si="6"/>
        <v>1670</v>
      </c>
      <c r="K14" s="21">
        <f t="shared" si="6"/>
        <v>1397</v>
      </c>
      <c r="L14" s="21">
        <f t="shared" si="6"/>
        <v>1129.4480000000001</v>
      </c>
      <c r="M14" s="21">
        <f t="shared" si="6"/>
        <v>1129.4480000000001</v>
      </c>
      <c r="N14" s="21">
        <f t="shared" si="6"/>
        <v>0</v>
      </c>
      <c r="O14" s="21">
        <f t="shared" si="6"/>
        <v>1683.393</v>
      </c>
      <c r="P14" s="21">
        <f t="shared" si="6"/>
        <v>1661.5070000000001</v>
      </c>
      <c r="Q14" s="22">
        <f t="shared" si="1"/>
        <v>98.699887667348037</v>
      </c>
      <c r="R14" s="22">
        <f t="shared" si="2"/>
        <v>1.3001123326519632</v>
      </c>
      <c r="S14" s="22">
        <f t="shared" si="3"/>
        <v>21.885999999999967</v>
      </c>
      <c r="T14" s="21">
        <f t="shared" ref="T14:U14" si="7">T15+T16+T17</f>
        <v>1683.393</v>
      </c>
      <c r="U14" s="21">
        <f t="shared" si="7"/>
        <v>1661.5070000000001</v>
      </c>
      <c r="V14" s="22">
        <f t="shared" si="5"/>
        <v>98.699887667348037</v>
      </c>
      <c r="W14" s="17"/>
    </row>
    <row r="15" spans="1:23">
      <c r="A15" s="6"/>
      <c r="B15" s="23" t="s">
        <v>24</v>
      </c>
      <c r="C15" s="24" t="s">
        <v>25</v>
      </c>
      <c r="D15" s="25" t="s">
        <v>23</v>
      </c>
      <c r="E15" s="26">
        <v>2071.7199999999998</v>
      </c>
      <c r="F15" s="17">
        <f>E15/E118</f>
        <v>3.320064102564102E-2</v>
      </c>
      <c r="G15" s="17">
        <v>53000</v>
      </c>
      <c r="H15" s="27">
        <f>F15*G15</f>
        <v>1759.633974358974</v>
      </c>
      <c r="I15" s="27">
        <f>50+330+570</f>
        <v>950</v>
      </c>
      <c r="J15" s="27">
        <v>50</v>
      </c>
      <c r="K15" s="27">
        <v>100</v>
      </c>
      <c r="L15" s="27">
        <v>315.94799999999998</v>
      </c>
      <c r="M15" s="27">
        <v>315.94799999999998</v>
      </c>
      <c r="N15" s="27"/>
      <c r="O15" s="27">
        <v>315.94799999999998</v>
      </c>
      <c r="P15" s="28">
        <v>333.14800000000002</v>
      </c>
      <c r="Q15" s="29">
        <f t="shared" si="1"/>
        <v>105.44393381189312</v>
      </c>
      <c r="R15" s="29">
        <f t="shared" si="2"/>
        <v>-5.4439338118931175</v>
      </c>
      <c r="S15" s="29">
        <f t="shared" si="3"/>
        <v>-17.200000000000045</v>
      </c>
      <c r="T15" s="27">
        <v>315.94799999999998</v>
      </c>
      <c r="U15" s="27">
        <v>333.14800000000002</v>
      </c>
      <c r="V15" s="16">
        <f>U15/T15*100</f>
        <v>105.44393381189312</v>
      </c>
      <c r="W15" s="17" t="s">
        <v>26</v>
      </c>
    </row>
    <row r="16" spans="1:23">
      <c r="A16" s="6"/>
      <c r="B16" s="23" t="s">
        <v>27</v>
      </c>
      <c r="C16" s="24" t="s">
        <v>28</v>
      </c>
      <c r="D16" s="25" t="s">
        <v>23</v>
      </c>
      <c r="E16" s="26">
        <v>1414.6</v>
      </c>
      <c r="F16" s="17">
        <f>E16/E118</f>
        <v>2.2669871794871795E-2</v>
      </c>
      <c r="G16" s="17">
        <v>53000</v>
      </c>
      <c r="H16" s="27">
        <f t="shared" ref="H16:H58" si="8">F16*G16</f>
        <v>1201.5032051282051</v>
      </c>
      <c r="I16" s="27">
        <v>1200</v>
      </c>
      <c r="J16" s="27">
        <v>1200</v>
      </c>
      <c r="K16" s="27">
        <v>877</v>
      </c>
      <c r="L16" s="27">
        <v>605.99400000000003</v>
      </c>
      <c r="M16" s="27">
        <v>605.99400000000003</v>
      </c>
      <c r="N16" s="27"/>
      <c r="O16" s="27">
        <v>1077.874</v>
      </c>
      <c r="P16" s="28">
        <v>1054.8879999999999</v>
      </c>
      <c r="Q16" s="29">
        <f t="shared" si="1"/>
        <v>97.867468739388826</v>
      </c>
      <c r="R16" s="29">
        <f t="shared" si="2"/>
        <v>2.1325312606111737</v>
      </c>
      <c r="S16" s="29">
        <f t="shared" si="3"/>
        <v>22.986000000000104</v>
      </c>
      <c r="T16" s="27">
        <v>1077.874</v>
      </c>
      <c r="U16" s="27">
        <v>1054.8879999999999</v>
      </c>
      <c r="V16" s="16">
        <f t="shared" ref="V16:V79" si="9">U16/T16*100</f>
        <v>97.867468739388826</v>
      </c>
      <c r="W16" s="17"/>
    </row>
    <row r="17" spans="1:23" ht="25.5">
      <c r="A17" s="6"/>
      <c r="B17" s="30" t="s">
        <v>29</v>
      </c>
      <c r="C17" s="31" t="s">
        <v>30</v>
      </c>
      <c r="D17" s="25" t="s">
        <v>23</v>
      </c>
      <c r="E17" s="32">
        <v>497.69</v>
      </c>
      <c r="F17" s="33">
        <f>E17/E118</f>
        <v>7.9758012820512827E-3</v>
      </c>
      <c r="G17" s="33">
        <v>53000</v>
      </c>
      <c r="H17" s="34">
        <f t="shared" si="8"/>
        <v>422.71746794871797</v>
      </c>
      <c r="I17" s="34">
        <v>420</v>
      </c>
      <c r="J17" s="34">
        <v>420</v>
      </c>
      <c r="K17" s="34">
        <v>420</v>
      </c>
      <c r="L17" s="34">
        <v>207.506</v>
      </c>
      <c r="M17" s="34">
        <v>207.506</v>
      </c>
      <c r="N17" s="34"/>
      <c r="O17" s="34">
        <v>289.57100000000003</v>
      </c>
      <c r="P17" s="35">
        <v>273.471</v>
      </c>
      <c r="Q17" s="16">
        <f t="shared" si="1"/>
        <v>94.44005097195506</v>
      </c>
      <c r="R17" s="16">
        <f t="shared" si="2"/>
        <v>5.5599490280449402</v>
      </c>
      <c r="S17" s="16">
        <f t="shared" si="3"/>
        <v>16.100000000000023</v>
      </c>
      <c r="T17" s="34">
        <v>289.57100000000003</v>
      </c>
      <c r="U17" s="34">
        <v>273.471</v>
      </c>
      <c r="V17" s="16">
        <f t="shared" si="9"/>
        <v>94.44005097195506</v>
      </c>
      <c r="W17" s="31" t="s">
        <v>31</v>
      </c>
    </row>
    <row r="18" spans="1:23" ht="25.5">
      <c r="A18" s="6"/>
      <c r="B18" s="36" t="s">
        <v>32</v>
      </c>
      <c r="C18" s="18" t="s">
        <v>33</v>
      </c>
      <c r="D18" s="25" t="s">
        <v>21</v>
      </c>
      <c r="E18" s="37">
        <f>E19+E22+0.04</f>
        <v>12575.79</v>
      </c>
      <c r="F18" s="37">
        <f>F19+F22</f>
        <v>0.20153445512820511</v>
      </c>
      <c r="G18" s="37"/>
      <c r="H18" s="21">
        <f t="shared" ref="H18:M18" si="10">H19+H22+H23</f>
        <v>10681.326121794871</v>
      </c>
      <c r="I18" s="21">
        <f t="shared" si="10"/>
        <v>9433.14</v>
      </c>
      <c r="J18" s="21">
        <f t="shared" si="10"/>
        <v>9433.1280000000006</v>
      </c>
      <c r="K18" s="21">
        <f t="shared" si="10"/>
        <v>9434</v>
      </c>
      <c r="L18" s="21">
        <f t="shared" si="10"/>
        <v>6920.6680000000006</v>
      </c>
      <c r="M18" s="21">
        <f t="shared" si="10"/>
        <v>6982.5079999999998</v>
      </c>
      <c r="N18" s="21">
        <f>N19+N22+N23</f>
        <v>0</v>
      </c>
      <c r="O18" s="21">
        <f>O19+O22+O23</f>
        <v>9434</v>
      </c>
      <c r="P18" s="38">
        <f>P19+P22+P23</f>
        <v>9590.7529999999988</v>
      </c>
      <c r="Q18" s="22">
        <f t="shared" si="1"/>
        <v>101.66157515369937</v>
      </c>
      <c r="R18" s="22">
        <f t="shared" si="2"/>
        <v>-1.6615751536993741</v>
      </c>
      <c r="S18" s="22">
        <f t="shared" si="3"/>
        <v>-156.75299999999879</v>
      </c>
      <c r="T18" s="21">
        <f>T19+T22+T23</f>
        <v>9434</v>
      </c>
      <c r="U18" s="21">
        <f>U19+U22+U23</f>
        <v>9590.7529999999988</v>
      </c>
      <c r="V18" s="22">
        <f t="shared" si="9"/>
        <v>101.66157515369937</v>
      </c>
      <c r="W18" s="17"/>
    </row>
    <row r="19" spans="1:23">
      <c r="A19" s="6"/>
      <c r="B19" s="39" t="s">
        <v>34</v>
      </c>
      <c r="C19" s="24" t="s">
        <v>35</v>
      </c>
      <c r="D19" s="25" t="s">
        <v>23</v>
      </c>
      <c r="E19" s="26">
        <v>11442.9</v>
      </c>
      <c r="F19" s="17">
        <f>E19/E118</f>
        <v>0.18337980769230769</v>
      </c>
      <c r="G19" s="17">
        <v>53000</v>
      </c>
      <c r="H19" s="27">
        <f t="shared" si="8"/>
        <v>9719.1298076923067</v>
      </c>
      <c r="I19" s="27">
        <v>8571.68</v>
      </c>
      <c r="J19" s="27">
        <v>8571.6749999999993</v>
      </c>
      <c r="K19" s="27">
        <v>8572</v>
      </c>
      <c r="L19" s="27">
        <v>6284.4440000000004</v>
      </c>
      <c r="M19" s="27">
        <v>6345.1009999999997</v>
      </c>
      <c r="N19" s="27"/>
      <c r="O19" s="27">
        <v>8572</v>
      </c>
      <c r="P19" s="28">
        <v>8715.1569999999992</v>
      </c>
      <c r="Q19" s="29">
        <f t="shared" si="1"/>
        <v>101.67005366308912</v>
      </c>
      <c r="R19" s="29">
        <f t="shared" si="2"/>
        <v>-1.6700536630891207</v>
      </c>
      <c r="S19" s="29">
        <f t="shared" si="3"/>
        <v>-143.15699999999924</v>
      </c>
      <c r="T19" s="27">
        <v>8572</v>
      </c>
      <c r="U19" s="27">
        <v>8715.1569999999992</v>
      </c>
      <c r="V19" s="16">
        <f t="shared" si="9"/>
        <v>101.67005366308912</v>
      </c>
      <c r="W19" s="40" t="s">
        <v>36</v>
      </c>
    </row>
    <row r="20" spans="1:23" ht="12.75" hidden="1" customHeight="1">
      <c r="A20" s="6"/>
      <c r="B20" s="41"/>
      <c r="C20" s="42" t="s">
        <v>37</v>
      </c>
      <c r="D20" s="43" t="s">
        <v>38</v>
      </c>
      <c r="E20" s="44">
        <f>E19/E21/12*1000</f>
        <v>79464.583333333328</v>
      </c>
      <c r="F20" s="17">
        <f>E20/E118</f>
        <v>1.2734708867521367</v>
      </c>
      <c r="G20" s="17">
        <v>53000</v>
      </c>
      <c r="H20" s="27">
        <f t="shared" si="8"/>
        <v>67493.95699786325</v>
      </c>
      <c r="I20" s="45">
        <f>I19/12/I21*1000</f>
        <v>79367.407407407416</v>
      </c>
      <c r="J20" s="45">
        <f>J19/9/12*1000</f>
        <v>79367.361111111109</v>
      </c>
      <c r="K20" s="27"/>
      <c r="L20" s="27"/>
      <c r="M20" s="27"/>
      <c r="N20" s="27"/>
      <c r="O20" s="27"/>
      <c r="P20" s="28"/>
      <c r="Q20" s="29" t="e">
        <f t="shared" si="1"/>
        <v>#DIV/0!</v>
      </c>
      <c r="R20" s="29" t="e">
        <f t="shared" si="2"/>
        <v>#DIV/0!</v>
      </c>
      <c r="S20" s="29">
        <f t="shared" si="3"/>
        <v>0</v>
      </c>
      <c r="T20" s="27"/>
      <c r="U20" s="27"/>
      <c r="V20" s="16" t="e">
        <f t="shared" si="9"/>
        <v>#DIV/0!</v>
      </c>
      <c r="W20" s="46"/>
    </row>
    <row r="21" spans="1:23" ht="12.75" hidden="1" customHeight="1">
      <c r="A21" s="6"/>
      <c r="B21" s="47"/>
      <c r="C21" s="42" t="s">
        <v>39</v>
      </c>
      <c r="D21" s="43" t="s">
        <v>40</v>
      </c>
      <c r="E21" s="48">
        <v>12</v>
      </c>
      <c r="F21" s="17">
        <f>E21/E118</f>
        <v>1.9230769230769231E-4</v>
      </c>
      <c r="G21" s="17">
        <v>53000</v>
      </c>
      <c r="H21" s="27">
        <f t="shared" si="8"/>
        <v>10.192307692307692</v>
      </c>
      <c r="I21" s="27">
        <v>9</v>
      </c>
      <c r="J21" s="45">
        <v>9</v>
      </c>
      <c r="K21" s="27"/>
      <c r="L21" s="27"/>
      <c r="M21" s="27"/>
      <c r="N21" s="27"/>
      <c r="O21" s="27"/>
      <c r="P21" s="28"/>
      <c r="Q21" s="29" t="e">
        <f t="shared" si="1"/>
        <v>#DIV/0!</v>
      </c>
      <c r="R21" s="29" t="e">
        <f t="shared" si="2"/>
        <v>#DIV/0!</v>
      </c>
      <c r="S21" s="29">
        <f t="shared" si="3"/>
        <v>0</v>
      </c>
      <c r="T21" s="27"/>
      <c r="U21" s="27"/>
      <c r="V21" s="16" t="e">
        <f t="shared" si="9"/>
        <v>#DIV/0!</v>
      </c>
      <c r="W21" s="46"/>
    </row>
    <row r="22" spans="1:23">
      <c r="A22" s="6"/>
      <c r="B22" s="23" t="s">
        <v>41</v>
      </c>
      <c r="C22" s="24" t="s">
        <v>42</v>
      </c>
      <c r="D22" s="25" t="s">
        <v>23</v>
      </c>
      <c r="E22" s="26">
        <v>1132.8499999999999</v>
      </c>
      <c r="F22" s="17">
        <f>E22/E118</f>
        <v>1.8154647435897436E-2</v>
      </c>
      <c r="G22" s="17">
        <v>53000</v>
      </c>
      <c r="H22" s="27">
        <f t="shared" si="8"/>
        <v>962.19631410256409</v>
      </c>
      <c r="I22" s="27">
        <v>732.88</v>
      </c>
      <c r="J22" s="27">
        <v>732.87800000000004</v>
      </c>
      <c r="K22" s="27">
        <v>733</v>
      </c>
      <c r="L22" s="27">
        <f>199.78+342.438</f>
        <v>542.21799999999996</v>
      </c>
      <c r="M22" s="27">
        <f>342.611+199.879</f>
        <v>542.49</v>
      </c>
      <c r="N22" s="27"/>
      <c r="O22" s="27">
        <v>733</v>
      </c>
      <c r="P22" s="28">
        <f>274.538+470.592</f>
        <v>745.13</v>
      </c>
      <c r="Q22" s="29">
        <f t="shared" si="1"/>
        <v>101.65484311050477</v>
      </c>
      <c r="R22" s="29">
        <f t="shared" si="2"/>
        <v>-1.6548431105047712</v>
      </c>
      <c r="S22" s="29">
        <f t="shared" si="3"/>
        <v>-12.129999999999995</v>
      </c>
      <c r="T22" s="27">
        <v>733</v>
      </c>
      <c r="U22" s="27">
        <f>274.538+470.592</f>
        <v>745.13</v>
      </c>
      <c r="V22" s="16">
        <f t="shared" si="9"/>
        <v>101.65484311050477</v>
      </c>
      <c r="W22" s="46"/>
    </row>
    <row r="23" spans="1:23">
      <c r="A23" s="6"/>
      <c r="B23" s="23" t="s">
        <v>43</v>
      </c>
      <c r="C23" s="24" t="s">
        <v>44</v>
      </c>
      <c r="D23" s="7" t="s">
        <v>23</v>
      </c>
      <c r="E23" s="26"/>
      <c r="F23" s="17"/>
      <c r="G23" s="17">
        <v>53000</v>
      </c>
      <c r="H23" s="27">
        <f t="shared" si="8"/>
        <v>0</v>
      </c>
      <c r="I23" s="27">
        <v>128.58000000000001</v>
      </c>
      <c r="J23" s="27">
        <v>128.57499999999999</v>
      </c>
      <c r="K23" s="27">
        <v>129</v>
      </c>
      <c r="L23" s="27">
        <v>94.006</v>
      </c>
      <c r="M23" s="27">
        <v>94.917000000000002</v>
      </c>
      <c r="N23" s="27"/>
      <c r="O23" s="27">
        <v>129</v>
      </c>
      <c r="P23" s="28">
        <v>130.46600000000001</v>
      </c>
      <c r="Q23" s="29">
        <f t="shared" si="1"/>
        <v>101.13643410852713</v>
      </c>
      <c r="R23" s="29">
        <f t="shared" si="2"/>
        <v>-1.1364341085271263</v>
      </c>
      <c r="S23" s="29">
        <f t="shared" si="3"/>
        <v>-1.4660000000000082</v>
      </c>
      <c r="T23" s="27">
        <v>129</v>
      </c>
      <c r="U23" s="27">
        <v>130.46600000000001</v>
      </c>
      <c r="V23" s="16">
        <f t="shared" si="9"/>
        <v>101.13643410852713</v>
      </c>
      <c r="W23" s="49"/>
    </row>
    <row r="24" spans="1:23">
      <c r="A24" s="6"/>
      <c r="B24" s="7">
        <v>3</v>
      </c>
      <c r="C24" s="18" t="s">
        <v>45</v>
      </c>
      <c r="D24" s="7" t="s">
        <v>23</v>
      </c>
      <c r="E24" s="8">
        <v>18030</v>
      </c>
      <c r="F24" s="17">
        <f>E24/E118</f>
        <v>0.28894230769230766</v>
      </c>
      <c r="G24" s="17">
        <v>53000</v>
      </c>
      <c r="H24" s="27">
        <f t="shared" si="8"/>
        <v>15313.942307692307</v>
      </c>
      <c r="I24" s="50">
        <v>18280</v>
      </c>
      <c r="J24" s="51">
        <v>18280</v>
      </c>
      <c r="K24" s="27">
        <v>18280</v>
      </c>
      <c r="L24" s="27">
        <f>1791.197+20265.723</f>
        <v>22056.920000000002</v>
      </c>
      <c r="M24" s="27">
        <v>13522.5</v>
      </c>
      <c r="N24" s="27"/>
      <c r="O24" s="52">
        <f>O25+O26+O27</f>
        <v>20587.632000000001</v>
      </c>
      <c r="P24" s="52">
        <f>P25+P26+P27</f>
        <v>30036.738000000001</v>
      </c>
      <c r="Q24" s="22">
        <f t="shared" si="1"/>
        <v>145.897002627597</v>
      </c>
      <c r="R24" s="22">
        <f t="shared" si="2"/>
        <v>-45.897002627597004</v>
      </c>
      <c r="S24" s="22">
        <f t="shared" si="3"/>
        <v>-9449.1059999999998</v>
      </c>
      <c r="T24" s="51">
        <f>T25+T26+T27</f>
        <v>20587.632000000001</v>
      </c>
      <c r="U24" s="51">
        <f>U25+U26+U27</f>
        <v>30036.738000000001</v>
      </c>
      <c r="V24" s="22">
        <f t="shared" si="9"/>
        <v>145.897002627597</v>
      </c>
      <c r="W24" s="17"/>
    </row>
    <row r="25" spans="1:23" ht="50.25" customHeight="1">
      <c r="A25" s="6"/>
      <c r="B25" s="53" t="s">
        <v>46</v>
      </c>
      <c r="C25" s="54" t="s">
        <v>47</v>
      </c>
      <c r="D25" s="7" t="s">
        <v>23</v>
      </c>
      <c r="E25" s="26"/>
      <c r="F25" s="33"/>
      <c r="G25" s="33"/>
      <c r="H25" s="34"/>
      <c r="I25" s="55"/>
      <c r="J25" s="56"/>
      <c r="K25" s="34"/>
      <c r="L25" s="34"/>
      <c r="M25" s="34"/>
      <c r="N25" s="34"/>
      <c r="O25" s="57">
        <v>18030</v>
      </c>
      <c r="P25" s="35">
        <f>27014.645+2410.891</f>
        <v>29425.536</v>
      </c>
      <c r="Q25" s="16">
        <f t="shared" si="1"/>
        <v>163.20319467554077</v>
      </c>
      <c r="R25" s="16">
        <f t="shared" si="2"/>
        <v>-63.203194675540772</v>
      </c>
      <c r="S25" s="16">
        <f t="shared" si="3"/>
        <v>-11395.536</v>
      </c>
      <c r="T25" s="34">
        <v>18030</v>
      </c>
      <c r="U25" s="34">
        <f>27014.645+2410.891</f>
        <v>29425.536</v>
      </c>
      <c r="V25" s="16">
        <f t="shared" si="9"/>
        <v>163.20319467554077</v>
      </c>
      <c r="W25" s="58" t="s">
        <v>48</v>
      </c>
    </row>
    <row r="26" spans="1:23" ht="21.75" customHeight="1">
      <c r="A26" s="6"/>
      <c r="B26" s="53" t="s">
        <v>49</v>
      </c>
      <c r="C26" s="24" t="s">
        <v>50</v>
      </c>
      <c r="D26" s="7" t="s">
        <v>23</v>
      </c>
      <c r="E26" s="26"/>
      <c r="F26" s="33"/>
      <c r="G26" s="33"/>
      <c r="H26" s="34"/>
      <c r="I26" s="55"/>
      <c r="J26" s="56"/>
      <c r="K26" s="34"/>
      <c r="L26" s="34"/>
      <c r="M26" s="34"/>
      <c r="N26" s="34"/>
      <c r="O26" s="35">
        <v>611.202</v>
      </c>
      <c r="P26" s="35">
        <v>611.202</v>
      </c>
      <c r="Q26" s="16">
        <f t="shared" si="1"/>
        <v>100</v>
      </c>
      <c r="R26" s="16">
        <f t="shared" si="2"/>
        <v>0</v>
      </c>
      <c r="S26" s="16">
        <f t="shared" si="3"/>
        <v>0</v>
      </c>
      <c r="T26" s="34">
        <v>611.202</v>
      </c>
      <c r="U26" s="34">
        <v>611.202</v>
      </c>
      <c r="V26" s="16">
        <f t="shared" si="9"/>
        <v>100</v>
      </c>
      <c r="W26" s="17"/>
    </row>
    <row r="27" spans="1:23" ht="89.25">
      <c r="A27" s="6"/>
      <c r="B27" s="53" t="s">
        <v>51</v>
      </c>
      <c r="C27" s="24" t="s">
        <v>52</v>
      </c>
      <c r="D27" s="7" t="s">
        <v>23</v>
      </c>
      <c r="E27" s="26"/>
      <c r="F27" s="17"/>
      <c r="G27" s="17"/>
      <c r="H27" s="27"/>
      <c r="I27" s="50"/>
      <c r="J27" s="51"/>
      <c r="K27" s="27"/>
      <c r="L27" s="27"/>
      <c r="M27" s="27"/>
      <c r="N27" s="27"/>
      <c r="O27" s="28">
        <v>1946.43</v>
      </c>
      <c r="P27" s="28"/>
      <c r="Q27" s="29">
        <f t="shared" si="1"/>
        <v>0</v>
      </c>
      <c r="R27" s="29">
        <f t="shared" si="2"/>
        <v>100</v>
      </c>
      <c r="S27" s="29">
        <f t="shared" si="3"/>
        <v>1946.43</v>
      </c>
      <c r="T27" s="34">
        <v>1946.43</v>
      </c>
      <c r="U27" s="34"/>
      <c r="V27" s="16">
        <f t="shared" si="9"/>
        <v>0</v>
      </c>
      <c r="W27" s="58" t="s">
        <v>53</v>
      </c>
    </row>
    <row r="28" spans="1:23" ht="21" customHeight="1">
      <c r="A28" s="6"/>
      <c r="B28" s="7">
        <v>4</v>
      </c>
      <c r="C28" s="18" t="s">
        <v>54</v>
      </c>
      <c r="D28" s="25" t="s">
        <v>23</v>
      </c>
      <c r="E28" s="37">
        <f>E29+E30</f>
        <v>7546.2199999999993</v>
      </c>
      <c r="F28" s="37">
        <f>F29+F30</f>
        <v>0.12093301282051282</v>
      </c>
      <c r="G28" s="37"/>
      <c r="H28" s="21">
        <f t="shared" ref="H28:P28" si="11">H29+H30</f>
        <v>6409.4496794871793</v>
      </c>
      <c r="I28" s="21">
        <f t="shared" si="11"/>
        <v>3445.69</v>
      </c>
      <c r="J28" s="21">
        <f t="shared" si="11"/>
        <v>1545.69</v>
      </c>
      <c r="K28" s="21">
        <f t="shared" si="11"/>
        <v>1889</v>
      </c>
      <c r="L28" s="21">
        <f t="shared" si="11"/>
        <v>1479.0340000000001</v>
      </c>
      <c r="M28" s="21">
        <f t="shared" si="11"/>
        <v>1479.0340000000001</v>
      </c>
      <c r="N28" s="21">
        <f t="shared" si="11"/>
        <v>0</v>
      </c>
      <c r="O28" s="21">
        <f t="shared" si="11"/>
        <v>4220.3159999999998</v>
      </c>
      <c r="P28" s="21">
        <f t="shared" si="11"/>
        <v>4229.3710000000001</v>
      </c>
      <c r="Q28" s="22">
        <f t="shared" si="1"/>
        <v>100.21455739333265</v>
      </c>
      <c r="R28" s="22">
        <f t="shared" si="2"/>
        <v>-0.21455739333265456</v>
      </c>
      <c r="S28" s="22">
        <f t="shared" si="3"/>
        <v>-9.055000000000291</v>
      </c>
      <c r="T28" s="21">
        <f t="shared" ref="T28:U28" si="12">T29+T30</f>
        <v>4220.3159999999998</v>
      </c>
      <c r="U28" s="21">
        <f t="shared" si="12"/>
        <v>4229.3710000000001</v>
      </c>
      <c r="V28" s="22">
        <f t="shared" si="9"/>
        <v>100.21455739333265</v>
      </c>
      <c r="W28" s="17"/>
    </row>
    <row r="29" spans="1:23" ht="25.5">
      <c r="A29" s="6"/>
      <c r="B29" s="53" t="s">
        <v>55</v>
      </c>
      <c r="C29" s="24" t="s">
        <v>56</v>
      </c>
      <c r="D29" s="25" t="s">
        <v>23</v>
      </c>
      <c r="E29" s="26">
        <v>6781.48</v>
      </c>
      <c r="F29" s="33">
        <f>E29/E118</f>
        <v>0.1086775641025641</v>
      </c>
      <c r="G29" s="33">
        <v>53000</v>
      </c>
      <c r="H29" s="34">
        <f t="shared" si="8"/>
        <v>5759.9108974358969</v>
      </c>
      <c r="I29" s="34">
        <v>2066.79</v>
      </c>
      <c r="J29" s="34">
        <v>866.79</v>
      </c>
      <c r="K29" s="34">
        <v>909</v>
      </c>
      <c r="L29" s="34">
        <v>931.26800000000003</v>
      </c>
      <c r="M29" s="34">
        <v>931.26800000000003</v>
      </c>
      <c r="N29" s="34"/>
      <c r="O29" s="34">
        <v>1013.768</v>
      </c>
      <c r="P29" s="35">
        <v>1064.837</v>
      </c>
      <c r="Q29" s="16">
        <f t="shared" si="1"/>
        <v>105.03754310650957</v>
      </c>
      <c r="R29" s="16">
        <f t="shared" si="2"/>
        <v>-5.0375431065095739</v>
      </c>
      <c r="S29" s="16">
        <f t="shared" si="3"/>
        <v>-51.06899999999996</v>
      </c>
      <c r="T29" s="34">
        <v>1013.768</v>
      </c>
      <c r="U29" s="34">
        <v>1064.837</v>
      </c>
      <c r="V29" s="16">
        <f t="shared" si="9"/>
        <v>105.03754310650957</v>
      </c>
      <c r="W29" s="58" t="s">
        <v>57</v>
      </c>
    </row>
    <row r="30" spans="1:23" ht="19.5" customHeight="1">
      <c r="A30" s="6"/>
      <c r="B30" s="53" t="s">
        <v>58</v>
      </c>
      <c r="C30" s="24" t="s">
        <v>59</v>
      </c>
      <c r="D30" s="25" t="s">
        <v>23</v>
      </c>
      <c r="E30" s="26">
        <f>761.7+3.04</f>
        <v>764.74</v>
      </c>
      <c r="F30" s="33">
        <f>E30/E118</f>
        <v>1.2255448717948718E-2</v>
      </c>
      <c r="G30" s="33">
        <v>53000</v>
      </c>
      <c r="H30" s="34">
        <f t="shared" si="8"/>
        <v>649.53878205128206</v>
      </c>
      <c r="I30" s="34">
        <v>1378.9</v>
      </c>
      <c r="J30" s="34">
        <v>678.9</v>
      </c>
      <c r="K30" s="34">
        <v>980</v>
      </c>
      <c r="L30" s="34">
        <f>77.902+0.026+469.838</f>
        <v>547.76600000000008</v>
      </c>
      <c r="M30" s="34">
        <f>77.902+0.026+469.838</f>
        <v>547.76600000000008</v>
      </c>
      <c r="N30" s="34"/>
      <c r="O30" s="34">
        <v>3206.5479999999998</v>
      </c>
      <c r="P30" s="35">
        <f>2937.534+77+150</f>
        <v>3164.5340000000001</v>
      </c>
      <c r="Q30" s="16">
        <f t="shared" si="1"/>
        <v>98.689743612133682</v>
      </c>
      <c r="R30" s="16">
        <f t="shared" si="2"/>
        <v>1.3102563878663176</v>
      </c>
      <c r="S30" s="16">
        <f t="shared" si="3"/>
        <v>42.013999999999669</v>
      </c>
      <c r="T30" s="34">
        <v>3206.5479999999998</v>
      </c>
      <c r="U30" s="34">
        <f>2937.534+77+150</f>
        <v>3164.5340000000001</v>
      </c>
      <c r="V30" s="16">
        <f t="shared" si="9"/>
        <v>98.689743612133682</v>
      </c>
      <c r="W30" s="33" t="s">
        <v>60</v>
      </c>
    </row>
    <row r="31" spans="1:23" ht="25.5">
      <c r="A31" s="6"/>
      <c r="B31" s="59" t="s">
        <v>61</v>
      </c>
      <c r="C31" s="60" t="s">
        <v>62</v>
      </c>
      <c r="D31" s="25" t="s">
        <v>21</v>
      </c>
      <c r="E31" s="61">
        <f>E32+E34+E35+E45+E51+E52+E53+E54+E55+E56+E57+E58</f>
        <v>3330.64</v>
      </c>
      <c r="F31" s="62">
        <f>F32+F34+F35+F45+F51+F52+F53+F54+F55+F56+F57+F58</f>
        <v>5.3375641025641012E-2</v>
      </c>
      <c r="G31" s="62"/>
      <c r="H31" s="56">
        <f>H32+H34+H35+H45+H51+H52+H53+H54+H55+H56+H57+H58</f>
        <v>2828.9089743589743</v>
      </c>
      <c r="I31" s="56">
        <f>I32+I34+I35+I45+I51+I52+I53+I54+I55+I56+I57+I58+I59+I60</f>
        <v>3264.58</v>
      </c>
      <c r="J31" s="56">
        <f>J32+J34+J35+J45+J51+J52+J53+J54+J55+J56+J57+J58+J59</f>
        <v>2357</v>
      </c>
      <c r="K31" s="56">
        <f>K32+K34+K35+K45+K51+K52+K53+K54+K55+K56+K57+K58+K59+K62+K60+K61</f>
        <v>1996.9949999999999</v>
      </c>
      <c r="L31" s="56">
        <f>L32+L34+L35+L45+L51+L52+L53+L54+L55+L56+L57+L58+L59+L62+L60+L61</f>
        <v>1170.6849999999999</v>
      </c>
      <c r="M31" s="56">
        <f>M32+M34+M35+M45+M51+M52+M53+M54+M55+M56+M57+M58+M59+M62+M60+M61</f>
        <v>1170.6849999999999</v>
      </c>
      <c r="N31" s="56">
        <f t="shared" ref="N31:P31" si="13">N32+N34+N35+N45+N51+N52+N53+N54+N55+N56+N57+N58+N59+N62+N60+N61</f>
        <v>0</v>
      </c>
      <c r="O31" s="56">
        <f t="shared" si="13"/>
        <v>1693.85</v>
      </c>
      <c r="P31" s="56">
        <f t="shared" si="13"/>
        <v>1671.2739999999997</v>
      </c>
      <c r="Q31" s="22">
        <f t="shared" si="1"/>
        <v>98.667178321575093</v>
      </c>
      <c r="R31" s="22">
        <f t="shared" si="2"/>
        <v>1.3328216784249065</v>
      </c>
      <c r="S31" s="22">
        <f t="shared" si="3"/>
        <v>22.576000000000249</v>
      </c>
      <c r="T31" s="56">
        <f t="shared" ref="T31:U31" si="14">T32+T34+T35+T45+T51+T52+T53+T54+T55+T56+T57+T58+T59+T62+T60+T61</f>
        <v>1693.85</v>
      </c>
      <c r="U31" s="56">
        <f t="shared" si="14"/>
        <v>1671.2739999999997</v>
      </c>
      <c r="V31" s="22">
        <f t="shared" si="9"/>
        <v>98.667178321575093</v>
      </c>
      <c r="W31" s="17"/>
    </row>
    <row r="32" spans="1:23" ht="25.5">
      <c r="A32" s="6"/>
      <c r="B32" s="63" t="s">
        <v>63</v>
      </c>
      <c r="C32" s="31" t="s">
        <v>64</v>
      </c>
      <c r="D32" s="64" t="s">
        <v>23</v>
      </c>
      <c r="E32" s="26">
        <v>735.9</v>
      </c>
      <c r="F32" s="33">
        <f>E32/E118</f>
        <v>1.179326923076923E-2</v>
      </c>
      <c r="G32" s="33">
        <v>53000</v>
      </c>
      <c r="H32" s="34">
        <f t="shared" si="8"/>
        <v>625.04326923076917</v>
      </c>
      <c r="I32" s="34">
        <v>625</v>
      </c>
      <c r="J32" s="65">
        <v>313</v>
      </c>
      <c r="K32" s="34">
        <v>313</v>
      </c>
      <c r="L32" s="34"/>
      <c r="M32" s="34"/>
      <c r="N32" s="34"/>
      <c r="O32" s="34">
        <v>313</v>
      </c>
      <c r="P32" s="35">
        <f>248.9+27.6</f>
        <v>276.5</v>
      </c>
      <c r="Q32" s="16">
        <f t="shared" si="1"/>
        <v>88.33865814696486</v>
      </c>
      <c r="R32" s="16">
        <f t="shared" si="2"/>
        <v>11.66134185303514</v>
      </c>
      <c r="S32" s="16">
        <f t="shared" si="3"/>
        <v>36.5</v>
      </c>
      <c r="T32" s="34">
        <v>313</v>
      </c>
      <c r="U32" s="34">
        <f>248.9+27.6</f>
        <v>276.5</v>
      </c>
      <c r="V32" s="16">
        <f t="shared" si="9"/>
        <v>88.33865814696486</v>
      </c>
      <c r="W32" s="33" t="s">
        <v>60</v>
      </c>
    </row>
    <row r="33" spans="1:23" hidden="1">
      <c r="A33" s="6"/>
      <c r="B33" s="63"/>
      <c r="C33" s="66" t="s">
        <v>65</v>
      </c>
      <c r="D33" s="64"/>
      <c r="E33" s="26"/>
      <c r="F33" s="17"/>
      <c r="G33" s="17"/>
      <c r="H33" s="27"/>
      <c r="I33" s="27"/>
      <c r="J33" s="67"/>
      <c r="K33" s="27"/>
      <c r="L33" s="27"/>
      <c r="M33" s="27"/>
      <c r="N33" s="27"/>
      <c r="O33" s="27"/>
      <c r="P33" s="28"/>
      <c r="Q33" s="29" t="e">
        <f t="shared" si="1"/>
        <v>#DIV/0!</v>
      </c>
      <c r="R33" s="29" t="e">
        <f t="shared" si="2"/>
        <v>#DIV/0!</v>
      </c>
      <c r="S33" s="29">
        <f t="shared" si="3"/>
        <v>0</v>
      </c>
      <c r="T33" s="27"/>
      <c r="U33" s="27"/>
      <c r="V33" s="16" t="e">
        <f t="shared" si="9"/>
        <v>#DIV/0!</v>
      </c>
      <c r="W33" s="17"/>
    </row>
    <row r="34" spans="1:23">
      <c r="A34" s="6"/>
      <c r="B34" s="63" t="s">
        <v>66</v>
      </c>
      <c r="C34" s="31" t="s">
        <v>67</v>
      </c>
      <c r="D34" s="64" t="s">
        <v>23</v>
      </c>
      <c r="E34" s="26">
        <v>45</v>
      </c>
      <c r="F34" s="17">
        <f>E34/E118</f>
        <v>7.2115384615384619E-4</v>
      </c>
      <c r="G34" s="17">
        <v>53000</v>
      </c>
      <c r="H34" s="27">
        <f t="shared" si="8"/>
        <v>38.221153846153847</v>
      </c>
      <c r="I34" s="27">
        <v>40</v>
      </c>
      <c r="J34" s="67">
        <v>40</v>
      </c>
      <c r="K34" s="27">
        <v>40</v>
      </c>
      <c r="L34" s="27"/>
      <c r="M34" s="27"/>
      <c r="N34" s="27"/>
      <c r="O34" s="27">
        <v>40</v>
      </c>
      <c r="P34" s="28">
        <v>40</v>
      </c>
      <c r="Q34" s="29">
        <f t="shared" si="1"/>
        <v>100</v>
      </c>
      <c r="R34" s="29">
        <f t="shared" si="2"/>
        <v>0</v>
      </c>
      <c r="S34" s="29">
        <f t="shared" si="3"/>
        <v>0</v>
      </c>
      <c r="T34" s="27">
        <v>40</v>
      </c>
      <c r="U34" s="27">
        <v>40</v>
      </c>
      <c r="V34" s="16">
        <f t="shared" si="9"/>
        <v>100</v>
      </c>
      <c r="W34" s="17"/>
    </row>
    <row r="35" spans="1:23">
      <c r="A35" s="6"/>
      <c r="B35" s="68" t="s">
        <v>68</v>
      </c>
      <c r="C35" s="31" t="s">
        <v>69</v>
      </c>
      <c r="D35" s="64" t="s">
        <v>23</v>
      </c>
      <c r="E35" s="26">
        <v>653.79999999999995</v>
      </c>
      <c r="F35" s="17">
        <f>E35/E118</f>
        <v>1.0477564102564101E-2</v>
      </c>
      <c r="G35" s="17">
        <v>53000</v>
      </c>
      <c r="H35" s="27">
        <f t="shared" si="8"/>
        <v>555.31089743589735</v>
      </c>
      <c r="I35" s="27">
        <f>I36+I37+I38+I39+I40+I41+I42+I43+I44</f>
        <v>709</v>
      </c>
      <c r="J35" s="67">
        <f>J36+J37+J38+J39+J40+J41+J42+J43+J44</f>
        <v>644</v>
      </c>
      <c r="K35" s="51">
        <f>K36+K37+K38+K39+K40+K41+K42+K43+K44</f>
        <v>580.995</v>
      </c>
      <c r="L35" s="51">
        <v>365.03100000000001</v>
      </c>
      <c r="M35" s="51">
        <v>365.03100000000001</v>
      </c>
      <c r="N35" s="51"/>
      <c r="O35" s="27">
        <v>390.86200000000002</v>
      </c>
      <c r="P35" s="28">
        <f>SUM(P36:P44)</f>
        <v>391.89699999999999</v>
      </c>
      <c r="Q35" s="29">
        <f t="shared" si="1"/>
        <v>100.26479934094385</v>
      </c>
      <c r="R35" s="29">
        <f t="shared" si="2"/>
        <v>-0.26479934094385271</v>
      </c>
      <c r="S35" s="29">
        <f>O35-P35</f>
        <v>-1.0349999999999682</v>
      </c>
      <c r="T35" s="27">
        <v>390.86200000000002</v>
      </c>
      <c r="U35" s="27">
        <f>SUM(U36:U44)</f>
        <v>391.89699999999999</v>
      </c>
      <c r="V35" s="16">
        <f t="shared" si="9"/>
        <v>100.26479934094385</v>
      </c>
      <c r="W35" s="17"/>
    </row>
    <row r="36" spans="1:23" hidden="1">
      <c r="A36" s="6"/>
      <c r="B36" s="68"/>
      <c r="C36" s="69" t="s">
        <v>70</v>
      </c>
      <c r="D36" s="70"/>
      <c r="E36" s="71"/>
      <c r="F36" s="72"/>
      <c r="G36" s="72"/>
      <c r="H36" s="73"/>
      <c r="I36" s="73">
        <v>120</v>
      </c>
      <c r="J36" s="27">
        <v>120</v>
      </c>
      <c r="K36" s="27">
        <v>120</v>
      </c>
      <c r="L36" s="27"/>
      <c r="M36" s="27"/>
      <c r="N36" s="27"/>
      <c r="O36" s="27"/>
      <c r="P36" s="28"/>
      <c r="Q36" s="29"/>
      <c r="R36" s="29"/>
      <c r="S36" s="29"/>
      <c r="T36" s="27"/>
      <c r="U36" s="27"/>
      <c r="V36" s="16" t="e">
        <f t="shared" si="9"/>
        <v>#DIV/0!</v>
      </c>
      <c r="W36" s="17"/>
    </row>
    <row r="37" spans="1:23" hidden="1">
      <c r="A37" s="6"/>
      <c r="B37" s="68"/>
      <c r="C37" s="69" t="s">
        <v>71</v>
      </c>
      <c r="D37" s="70"/>
      <c r="E37" s="71"/>
      <c r="F37" s="72"/>
      <c r="G37" s="72"/>
      <c r="H37" s="73"/>
      <c r="I37" s="73">
        <v>250</v>
      </c>
      <c r="J37" s="27">
        <v>250</v>
      </c>
      <c r="K37" s="27">
        <v>250</v>
      </c>
      <c r="L37" s="27"/>
      <c r="M37" s="27"/>
      <c r="N37" s="27"/>
      <c r="O37" s="27"/>
      <c r="P37" s="28">
        <v>279.89699999999999</v>
      </c>
      <c r="Q37" s="29"/>
      <c r="R37" s="29"/>
      <c r="S37" s="29"/>
      <c r="T37" s="27"/>
      <c r="U37" s="27">
        <v>279.89699999999999</v>
      </c>
      <c r="V37" s="16" t="e">
        <f t="shared" si="9"/>
        <v>#DIV/0!</v>
      </c>
      <c r="W37" s="17"/>
    </row>
    <row r="38" spans="1:23" hidden="1">
      <c r="A38" s="6"/>
      <c r="B38" s="68"/>
      <c r="C38" s="69" t="s">
        <v>72</v>
      </c>
      <c r="D38" s="70"/>
      <c r="E38" s="71"/>
      <c r="F38" s="72"/>
      <c r="G38" s="72"/>
      <c r="H38" s="73"/>
      <c r="I38" s="73">
        <v>60</v>
      </c>
      <c r="J38" s="27">
        <v>60</v>
      </c>
      <c r="K38" s="27">
        <v>32</v>
      </c>
      <c r="L38" s="27"/>
      <c r="M38" s="27"/>
      <c r="N38" s="27"/>
      <c r="O38" s="27"/>
      <c r="P38" s="28"/>
      <c r="Q38" s="29"/>
      <c r="R38" s="29"/>
      <c r="S38" s="29"/>
      <c r="T38" s="27"/>
      <c r="U38" s="27"/>
      <c r="V38" s="16" t="e">
        <f t="shared" si="9"/>
        <v>#DIV/0!</v>
      </c>
      <c r="W38" s="17"/>
    </row>
    <row r="39" spans="1:23" hidden="1">
      <c r="A39" s="6"/>
      <c r="B39" s="68"/>
      <c r="C39" s="69" t="s">
        <v>73</v>
      </c>
      <c r="D39" s="70"/>
      <c r="E39" s="71"/>
      <c r="F39" s="72"/>
      <c r="G39" s="72"/>
      <c r="H39" s="73"/>
      <c r="I39" s="73">
        <v>42</v>
      </c>
      <c r="J39" s="27">
        <v>42</v>
      </c>
      <c r="K39" s="27">
        <v>19</v>
      </c>
      <c r="L39" s="27"/>
      <c r="M39" s="27"/>
      <c r="N39" s="27"/>
      <c r="O39" s="27"/>
      <c r="P39" s="28"/>
      <c r="Q39" s="29"/>
      <c r="R39" s="29"/>
      <c r="S39" s="29"/>
      <c r="T39" s="27"/>
      <c r="U39" s="27"/>
      <c r="V39" s="16" t="e">
        <f t="shared" si="9"/>
        <v>#DIV/0!</v>
      </c>
      <c r="W39" s="17"/>
    </row>
    <row r="40" spans="1:23" ht="22.5" hidden="1">
      <c r="A40" s="6"/>
      <c r="B40" s="68"/>
      <c r="C40" s="69" t="s">
        <v>74</v>
      </c>
      <c r="D40" s="70"/>
      <c r="E40" s="71"/>
      <c r="F40" s="72"/>
      <c r="G40" s="72"/>
      <c r="H40" s="73"/>
      <c r="I40" s="73">
        <v>20</v>
      </c>
      <c r="J40" s="27"/>
      <c r="K40" s="27"/>
      <c r="L40" s="27"/>
      <c r="M40" s="27"/>
      <c r="N40" s="27"/>
      <c r="O40" s="27"/>
      <c r="P40" s="28"/>
      <c r="Q40" s="29"/>
      <c r="R40" s="29"/>
      <c r="S40" s="29"/>
      <c r="T40" s="27"/>
      <c r="U40" s="27"/>
      <c r="V40" s="16" t="e">
        <f t="shared" si="9"/>
        <v>#DIV/0!</v>
      </c>
      <c r="W40" s="17"/>
    </row>
    <row r="41" spans="1:23" hidden="1">
      <c r="A41" s="6"/>
      <c r="B41" s="68"/>
      <c r="C41" s="69" t="s">
        <v>75</v>
      </c>
      <c r="D41" s="70"/>
      <c r="E41" s="71"/>
      <c r="F41" s="72"/>
      <c r="G41" s="72"/>
      <c r="H41" s="73"/>
      <c r="I41" s="73">
        <v>42</v>
      </c>
      <c r="J41" s="27">
        <v>42</v>
      </c>
      <c r="K41" s="27">
        <f>22+19.995</f>
        <v>41.995000000000005</v>
      </c>
      <c r="L41" s="27"/>
      <c r="M41" s="27"/>
      <c r="N41" s="27"/>
      <c r="O41" s="27"/>
      <c r="P41" s="28">
        <v>22</v>
      </c>
      <c r="Q41" s="29"/>
      <c r="R41" s="29"/>
      <c r="S41" s="29"/>
      <c r="T41" s="27"/>
      <c r="U41" s="27">
        <v>22</v>
      </c>
      <c r="V41" s="16" t="e">
        <f t="shared" si="9"/>
        <v>#DIV/0!</v>
      </c>
      <c r="W41" s="17"/>
    </row>
    <row r="42" spans="1:23" hidden="1">
      <c r="A42" s="6"/>
      <c r="B42" s="68"/>
      <c r="C42" s="69" t="s">
        <v>76</v>
      </c>
      <c r="D42" s="70"/>
      <c r="E42" s="71"/>
      <c r="F42" s="72"/>
      <c r="G42" s="72"/>
      <c r="H42" s="73"/>
      <c r="I42" s="73">
        <f>5*9</f>
        <v>45</v>
      </c>
      <c r="J42" s="27">
        <v>45</v>
      </c>
      <c r="K42" s="27"/>
      <c r="L42" s="27"/>
      <c r="M42" s="27"/>
      <c r="N42" s="27"/>
      <c r="O42" s="27"/>
      <c r="P42" s="28">
        <v>90</v>
      </c>
      <c r="Q42" s="29"/>
      <c r="R42" s="29"/>
      <c r="S42" s="29"/>
      <c r="T42" s="27"/>
      <c r="U42" s="27">
        <v>90</v>
      </c>
      <c r="V42" s="16" t="e">
        <f t="shared" si="9"/>
        <v>#DIV/0!</v>
      </c>
      <c r="W42" s="17"/>
    </row>
    <row r="43" spans="1:23" hidden="1">
      <c r="A43" s="6"/>
      <c r="B43" s="68"/>
      <c r="C43" s="69" t="s">
        <v>77</v>
      </c>
      <c r="D43" s="70"/>
      <c r="E43" s="71"/>
      <c r="F43" s="72"/>
      <c r="G43" s="72"/>
      <c r="H43" s="73"/>
      <c r="I43" s="73">
        <v>90</v>
      </c>
      <c r="J43" s="27">
        <v>45</v>
      </c>
      <c r="K43" s="27">
        <v>90</v>
      </c>
      <c r="L43" s="27"/>
      <c r="M43" s="27"/>
      <c r="N43" s="27"/>
      <c r="O43" s="27"/>
      <c r="P43" s="28"/>
      <c r="Q43" s="29"/>
      <c r="R43" s="29"/>
      <c r="S43" s="29"/>
      <c r="T43" s="27"/>
      <c r="U43" s="27"/>
      <c r="V43" s="16" t="e">
        <f t="shared" si="9"/>
        <v>#DIV/0!</v>
      </c>
      <c r="W43" s="17"/>
    </row>
    <row r="44" spans="1:23" ht="22.5" hidden="1">
      <c r="A44" s="6"/>
      <c r="B44" s="68"/>
      <c r="C44" s="69" t="s">
        <v>78</v>
      </c>
      <c r="D44" s="70"/>
      <c r="E44" s="71"/>
      <c r="F44" s="72"/>
      <c r="G44" s="72"/>
      <c r="H44" s="73"/>
      <c r="I44" s="73">
        <v>40</v>
      </c>
      <c r="J44" s="27">
        <v>40</v>
      </c>
      <c r="K44" s="27">
        <v>28</v>
      </c>
      <c r="L44" s="27"/>
      <c r="M44" s="27"/>
      <c r="N44" s="27"/>
      <c r="O44" s="27"/>
      <c r="P44" s="28"/>
      <c r="Q44" s="29"/>
      <c r="R44" s="29"/>
      <c r="S44" s="29"/>
      <c r="T44" s="27"/>
      <c r="U44" s="27"/>
      <c r="V44" s="16" t="e">
        <f t="shared" si="9"/>
        <v>#DIV/0!</v>
      </c>
      <c r="W44" s="17"/>
    </row>
    <row r="45" spans="1:23">
      <c r="A45" s="6"/>
      <c r="B45" s="68" t="s">
        <v>79</v>
      </c>
      <c r="C45" s="74" t="s">
        <v>80</v>
      </c>
      <c r="D45" s="64" t="s">
        <v>23</v>
      </c>
      <c r="E45" s="26">
        <v>731.7</v>
      </c>
      <c r="F45" s="17">
        <f>E45/E118</f>
        <v>1.1725961538461539E-2</v>
      </c>
      <c r="G45" s="17">
        <v>53000</v>
      </c>
      <c r="H45" s="27">
        <f t="shared" si="8"/>
        <v>621.47596153846155</v>
      </c>
      <c r="I45" s="27">
        <f>I46+I47+I48+I49+I50</f>
        <v>546</v>
      </c>
      <c r="J45" s="67">
        <f>J46+J47+J48+J49+J50</f>
        <v>270</v>
      </c>
      <c r="K45" s="52">
        <v>336</v>
      </c>
      <c r="L45" s="52">
        <v>337.11700000000002</v>
      </c>
      <c r="M45" s="52">
        <v>337.11700000000002</v>
      </c>
      <c r="N45" s="52"/>
      <c r="O45" s="27">
        <v>337.12</v>
      </c>
      <c r="P45" s="28">
        <v>337.12</v>
      </c>
      <c r="Q45" s="29">
        <f t="shared" ref="Q45:Q63" si="15">P45/O45*100</f>
        <v>100</v>
      </c>
      <c r="R45" s="29">
        <f t="shared" ref="R45:R63" si="16">100-Q45</f>
        <v>0</v>
      </c>
      <c r="S45" s="29">
        <f t="shared" ref="S45:S57" si="17">O45-P45</f>
        <v>0</v>
      </c>
      <c r="T45" s="27">
        <v>337.12</v>
      </c>
      <c r="U45" s="27">
        <v>337.12</v>
      </c>
      <c r="V45" s="16">
        <f t="shared" si="9"/>
        <v>100</v>
      </c>
      <c r="W45" s="17"/>
    </row>
    <row r="46" spans="1:23" hidden="1">
      <c r="A46" s="6"/>
      <c r="B46" s="68"/>
      <c r="C46" s="75" t="s">
        <v>81</v>
      </c>
      <c r="D46" s="76"/>
      <c r="E46" s="48"/>
      <c r="F46" s="77"/>
      <c r="G46" s="77"/>
      <c r="H46" s="78"/>
      <c r="I46" s="78">
        <f>20*4*0.45</f>
        <v>36</v>
      </c>
      <c r="J46" s="27"/>
      <c r="K46" s="27">
        <v>36.802</v>
      </c>
      <c r="L46" s="27"/>
      <c r="M46" s="27"/>
      <c r="N46" s="27"/>
      <c r="O46" s="27"/>
      <c r="P46" s="28"/>
      <c r="Q46" s="29" t="e">
        <f t="shared" si="15"/>
        <v>#DIV/0!</v>
      </c>
      <c r="R46" s="29" t="e">
        <f t="shared" si="16"/>
        <v>#DIV/0!</v>
      </c>
      <c r="S46" s="29">
        <f t="shared" si="17"/>
        <v>0</v>
      </c>
      <c r="T46" s="27"/>
      <c r="U46" s="27"/>
      <c r="V46" s="16" t="e">
        <f t="shared" si="9"/>
        <v>#DIV/0!</v>
      </c>
      <c r="W46" s="17"/>
    </row>
    <row r="47" spans="1:23" hidden="1">
      <c r="A47" s="6"/>
      <c r="B47" s="68"/>
      <c r="C47" s="75" t="s">
        <v>82</v>
      </c>
      <c r="D47" s="76"/>
      <c r="E47" s="48"/>
      <c r="F47" s="77"/>
      <c r="G47" s="77"/>
      <c r="H47" s="78"/>
      <c r="I47" s="78">
        <f>500*4*0.055</f>
        <v>110</v>
      </c>
      <c r="J47" s="27">
        <v>110</v>
      </c>
      <c r="K47" s="27">
        <v>76.2</v>
      </c>
      <c r="L47" s="27"/>
      <c r="M47" s="27"/>
      <c r="N47" s="27"/>
      <c r="O47" s="27"/>
      <c r="P47" s="28"/>
      <c r="Q47" s="29" t="e">
        <f t="shared" si="15"/>
        <v>#DIV/0!</v>
      </c>
      <c r="R47" s="29" t="e">
        <f t="shared" si="16"/>
        <v>#DIV/0!</v>
      </c>
      <c r="S47" s="29">
        <f t="shared" si="17"/>
        <v>0</v>
      </c>
      <c r="T47" s="27"/>
      <c r="U47" s="27"/>
      <c r="V47" s="16" t="e">
        <f t="shared" si="9"/>
        <v>#DIV/0!</v>
      </c>
      <c r="W47" s="17"/>
    </row>
    <row r="48" spans="1:23" ht="13.5" hidden="1">
      <c r="A48" s="6"/>
      <c r="B48" s="68"/>
      <c r="C48" s="75" t="s">
        <v>83</v>
      </c>
      <c r="D48" s="76"/>
      <c r="E48" s="48"/>
      <c r="F48" s="77"/>
      <c r="G48" s="77"/>
      <c r="H48" s="78"/>
      <c r="I48" s="78">
        <f>10*4*1.5</f>
        <v>60</v>
      </c>
      <c r="J48" s="27"/>
      <c r="K48" s="27">
        <v>64.114999999999995</v>
      </c>
      <c r="L48" s="27"/>
      <c r="M48" s="27"/>
      <c r="N48" s="27"/>
      <c r="O48" s="27"/>
      <c r="P48" s="28"/>
      <c r="Q48" s="29" t="e">
        <f t="shared" si="15"/>
        <v>#DIV/0!</v>
      </c>
      <c r="R48" s="29" t="e">
        <f t="shared" si="16"/>
        <v>#DIV/0!</v>
      </c>
      <c r="S48" s="29">
        <f t="shared" si="17"/>
        <v>0</v>
      </c>
      <c r="T48" s="27"/>
      <c r="U48" s="27"/>
      <c r="V48" s="16" t="e">
        <f t="shared" si="9"/>
        <v>#DIV/0!</v>
      </c>
      <c r="W48" s="17"/>
    </row>
    <row r="49" spans="1:23" hidden="1">
      <c r="A49" s="6"/>
      <c r="B49" s="68"/>
      <c r="C49" s="75" t="s">
        <v>84</v>
      </c>
      <c r="D49" s="76"/>
      <c r="E49" s="48"/>
      <c r="F49" s="77"/>
      <c r="G49" s="77"/>
      <c r="H49" s="78"/>
      <c r="I49" s="78">
        <f>10*4*4.5</f>
        <v>180</v>
      </c>
      <c r="J49" s="27"/>
      <c r="K49" s="27"/>
      <c r="L49" s="27"/>
      <c r="M49" s="27"/>
      <c r="N49" s="27"/>
      <c r="O49" s="27"/>
      <c r="P49" s="28"/>
      <c r="Q49" s="29" t="e">
        <f t="shared" si="15"/>
        <v>#DIV/0!</v>
      </c>
      <c r="R49" s="29" t="e">
        <f t="shared" si="16"/>
        <v>#DIV/0!</v>
      </c>
      <c r="S49" s="29">
        <f t="shared" si="17"/>
        <v>0</v>
      </c>
      <c r="T49" s="27"/>
      <c r="U49" s="27"/>
      <c r="V49" s="16" t="e">
        <f t="shared" si="9"/>
        <v>#DIV/0!</v>
      </c>
      <c r="W49" s="17"/>
    </row>
    <row r="50" spans="1:23" hidden="1">
      <c r="A50" s="6"/>
      <c r="B50" s="68"/>
      <c r="C50" s="75" t="s">
        <v>85</v>
      </c>
      <c r="D50" s="76"/>
      <c r="E50" s="48"/>
      <c r="F50" s="77"/>
      <c r="G50" s="77"/>
      <c r="H50" s="78"/>
      <c r="I50" s="78">
        <v>160</v>
      </c>
      <c r="J50" s="27">
        <v>160</v>
      </c>
      <c r="K50" s="27">
        <v>160</v>
      </c>
      <c r="L50" s="27"/>
      <c r="M50" s="27"/>
      <c r="N50" s="27"/>
      <c r="O50" s="27"/>
      <c r="P50" s="28"/>
      <c r="Q50" s="29" t="e">
        <f t="shared" si="15"/>
        <v>#DIV/0!</v>
      </c>
      <c r="R50" s="29" t="e">
        <f t="shared" si="16"/>
        <v>#DIV/0!</v>
      </c>
      <c r="S50" s="29">
        <f t="shared" si="17"/>
        <v>0</v>
      </c>
      <c r="T50" s="27"/>
      <c r="U50" s="27"/>
      <c r="V50" s="16" t="e">
        <f t="shared" si="9"/>
        <v>#DIV/0!</v>
      </c>
      <c r="W50" s="17"/>
    </row>
    <row r="51" spans="1:23" hidden="1">
      <c r="A51" s="6"/>
      <c r="B51" s="68" t="s">
        <v>86</v>
      </c>
      <c r="C51" s="74" t="s">
        <v>87</v>
      </c>
      <c r="D51" s="64" t="s">
        <v>23</v>
      </c>
      <c r="E51" s="79">
        <v>57.2</v>
      </c>
      <c r="F51" s="17">
        <f>E51/E118</f>
        <v>9.1666666666666676E-4</v>
      </c>
      <c r="G51" s="17">
        <v>53000</v>
      </c>
      <c r="H51" s="27">
        <f t="shared" si="8"/>
        <v>48.583333333333336</v>
      </c>
      <c r="I51" s="27">
        <v>0</v>
      </c>
      <c r="J51" s="27"/>
      <c r="K51" s="27">
        <v>0</v>
      </c>
      <c r="L51" s="27"/>
      <c r="M51" s="27"/>
      <c r="N51" s="27"/>
      <c r="O51" s="27"/>
      <c r="P51" s="28"/>
      <c r="Q51" s="29" t="e">
        <f t="shared" si="15"/>
        <v>#DIV/0!</v>
      </c>
      <c r="R51" s="29" t="e">
        <f t="shared" si="16"/>
        <v>#DIV/0!</v>
      </c>
      <c r="S51" s="29">
        <f t="shared" si="17"/>
        <v>0</v>
      </c>
      <c r="T51" s="27"/>
      <c r="U51" s="27"/>
      <c r="V51" s="16" t="e">
        <f t="shared" si="9"/>
        <v>#DIV/0!</v>
      </c>
      <c r="W51" s="17"/>
    </row>
    <row r="52" spans="1:23" hidden="1">
      <c r="A52" s="6"/>
      <c r="B52" s="63" t="s">
        <v>88</v>
      </c>
      <c r="C52" s="74" t="s">
        <v>89</v>
      </c>
      <c r="D52" s="64" t="s">
        <v>23</v>
      </c>
      <c r="E52" s="79">
        <v>18</v>
      </c>
      <c r="F52" s="17">
        <f>E52/E118</f>
        <v>2.8846153846153849E-4</v>
      </c>
      <c r="G52" s="17">
        <v>53000</v>
      </c>
      <c r="H52" s="27">
        <f t="shared" si="8"/>
        <v>15.28846153846154</v>
      </c>
      <c r="I52" s="27">
        <v>63</v>
      </c>
      <c r="J52" s="27"/>
      <c r="K52" s="27">
        <v>0</v>
      </c>
      <c r="L52" s="27"/>
      <c r="M52" s="27"/>
      <c r="N52" s="27"/>
      <c r="O52" s="27"/>
      <c r="P52" s="28"/>
      <c r="Q52" s="29" t="e">
        <f t="shared" si="15"/>
        <v>#DIV/0!</v>
      </c>
      <c r="R52" s="29" t="e">
        <f t="shared" si="16"/>
        <v>#DIV/0!</v>
      </c>
      <c r="S52" s="29">
        <f t="shared" si="17"/>
        <v>0</v>
      </c>
      <c r="T52" s="27"/>
      <c r="U52" s="27"/>
      <c r="V52" s="16" t="e">
        <f t="shared" si="9"/>
        <v>#DIV/0!</v>
      </c>
      <c r="W52" s="17"/>
    </row>
    <row r="53" spans="1:23" ht="25.5">
      <c r="A53" s="6"/>
      <c r="B53" s="63" t="s">
        <v>90</v>
      </c>
      <c r="C53" s="31" t="s">
        <v>91</v>
      </c>
      <c r="D53" s="64" t="s">
        <v>23</v>
      </c>
      <c r="E53" s="79">
        <v>461.3</v>
      </c>
      <c r="F53" s="33">
        <f>E53/E118</f>
        <v>7.3926282051282053E-3</v>
      </c>
      <c r="G53" s="33">
        <v>53000</v>
      </c>
      <c r="H53" s="34">
        <f t="shared" si="8"/>
        <v>391.80929487179486</v>
      </c>
      <c r="I53" s="34">
        <v>450</v>
      </c>
      <c r="J53" s="34">
        <v>450</v>
      </c>
      <c r="K53" s="34">
        <v>450</v>
      </c>
      <c r="L53" s="34">
        <v>308.49299999999999</v>
      </c>
      <c r="M53" s="34">
        <v>308.49299999999999</v>
      </c>
      <c r="N53" s="34"/>
      <c r="O53" s="34">
        <v>411.32400000000001</v>
      </c>
      <c r="P53" s="35">
        <v>421.23200000000003</v>
      </c>
      <c r="Q53" s="16">
        <f t="shared" si="15"/>
        <v>102.40880668280967</v>
      </c>
      <c r="R53" s="16">
        <f t="shared" si="16"/>
        <v>-2.4088066828096686</v>
      </c>
      <c r="S53" s="16">
        <f t="shared" si="17"/>
        <v>-9.9080000000000155</v>
      </c>
      <c r="T53" s="34">
        <v>411.32400000000001</v>
      </c>
      <c r="U53" s="34">
        <v>421.23200000000003</v>
      </c>
      <c r="V53" s="16">
        <f t="shared" si="9"/>
        <v>102.40880668280967</v>
      </c>
      <c r="W53" s="58" t="s">
        <v>92</v>
      </c>
    </row>
    <row r="54" spans="1:23" ht="25.5">
      <c r="A54" s="6"/>
      <c r="B54" s="63" t="s">
        <v>93</v>
      </c>
      <c r="C54" s="74" t="s">
        <v>94</v>
      </c>
      <c r="D54" s="64" t="s">
        <v>23</v>
      </c>
      <c r="E54" s="79">
        <v>160.30000000000001</v>
      </c>
      <c r="F54" s="17">
        <f>E54/E118</f>
        <v>2.5689102564102565E-3</v>
      </c>
      <c r="G54" s="17">
        <v>53000</v>
      </c>
      <c r="H54" s="27">
        <f t="shared" si="8"/>
        <v>136.15224358974359</v>
      </c>
      <c r="I54" s="27">
        <v>130</v>
      </c>
      <c r="J54" s="27">
        <v>130</v>
      </c>
      <c r="K54" s="27">
        <v>80</v>
      </c>
      <c r="L54" s="27">
        <v>47.994</v>
      </c>
      <c r="M54" s="27">
        <v>47.994</v>
      </c>
      <c r="N54" s="27"/>
      <c r="O54" s="27">
        <v>79.998999999999995</v>
      </c>
      <c r="P54" s="28">
        <v>79.989999999999995</v>
      </c>
      <c r="Q54" s="29">
        <f t="shared" si="15"/>
        <v>99.988749859373243</v>
      </c>
      <c r="R54" s="29">
        <f t="shared" si="16"/>
        <v>1.1250140626756888E-2</v>
      </c>
      <c r="S54" s="29">
        <f t="shared" si="17"/>
        <v>9.0000000000003411E-3</v>
      </c>
      <c r="T54" s="27">
        <v>79.998999999999995</v>
      </c>
      <c r="U54" s="27">
        <v>79.989999999999995</v>
      </c>
      <c r="V54" s="16">
        <f t="shared" si="9"/>
        <v>99.988749859373243</v>
      </c>
      <c r="W54" s="17"/>
    </row>
    <row r="55" spans="1:23" ht="25.5">
      <c r="A55" s="6"/>
      <c r="B55" s="63" t="s">
        <v>95</v>
      </c>
      <c r="C55" s="74" t="s">
        <v>96</v>
      </c>
      <c r="D55" s="64" t="s">
        <v>23</v>
      </c>
      <c r="E55" s="79">
        <v>146.9</v>
      </c>
      <c r="F55" s="17">
        <f>E55/E118</f>
        <v>2.3541666666666667E-3</v>
      </c>
      <c r="G55" s="17">
        <v>53000</v>
      </c>
      <c r="H55" s="27">
        <f t="shared" si="8"/>
        <v>124.77083333333334</v>
      </c>
      <c r="I55" s="27">
        <v>120</v>
      </c>
      <c r="J55" s="27">
        <v>60</v>
      </c>
      <c r="K55" s="27">
        <v>59</v>
      </c>
      <c r="L55" s="27">
        <v>11.8</v>
      </c>
      <c r="M55" s="27">
        <v>11.8</v>
      </c>
      <c r="N55" s="27"/>
      <c r="O55" s="27">
        <v>59</v>
      </c>
      <c r="P55" s="28">
        <v>59</v>
      </c>
      <c r="Q55" s="29">
        <f t="shared" si="15"/>
        <v>100</v>
      </c>
      <c r="R55" s="29">
        <f t="shared" si="16"/>
        <v>0</v>
      </c>
      <c r="S55" s="29">
        <f t="shared" si="17"/>
        <v>0</v>
      </c>
      <c r="T55" s="27">
        <v>59</v>
      </c>
      <c r="U55" s="27">
        <v>59</v>
      </c>
      <c r="V55" s="16">
        <f t="shared" si="9"/>
        <v>100</v>
      </c>
      <c r="W55" s="17"/>
    </row>
    <row r="56" spans="1:23" ht="16.5" customHeight="1">
      <c r="B56" s="53" t="s">
        <v>97</v>
      </c>
      <c r="C56" s="80" t="s">
        <v>98</v>
      </c>
      <c r="D56" s="64" t="s">
        <v>23</v>
      </c>
      <c r="E56" s="79">
        <v>261.10000000000002</v>
      </c>
      <c r="F56" s="33">
        <f>E56/E118</f>
        <v>4.1842948717948723E-3</v>
      </c>
      <c r="G56" s="33">
        <v>53000</v>
      </c>
      <c r="H56" s="34">
        <f t="shared" si="8"/>
        <v>221.76762820512823</v>
      </c>
      <c r="I56" s="34">
        <v>250</v>
      </c>
      <c r="J56" s="34">
        <v>250</v>
      </c>
      <c r="K56" s="34">
        <v>35</v>
      </c>
      <c r="L56" s="34"/>
      <c r="M56" s="34"/>
      <c r="N56" s="34"/>
      <c r="O56" s="34">
        <v>23.995000000000001</v>
      </c>
      <c r="P56" s="35">
        <v>23.995000000000001</v>
      </c>
      <c r="Q56" s="16">
        <f t="shared" si="15"/>
        <v>100</v>
      </c>
      <c r="R56" s="16">
        <f t="shared" si="16"/>
        <v>0</v>
      </c>
      <c r="S56" s="16">
        <f t="shared" si="17"/>
        <v>0</v>
      </c>
      <c r="T56" s="34">
        <v>23.995000000000001</v>
      </c>
      <c r="U56" s="34">
        <v>23.995000000000001</v>
      </c>
      <c r="V56" s="16">
        <f t="shared" si="9"/>
        <v>100</v>
      </c>
      <c r="W56" s="17"/>
    </row>
    <row r="57" spans="1:23" ht="21" customHeight="1">
      <c r="B57" s="53" t="s">
        <v>99</v>
      </c>
      <c r="C57" s="80" t="s">
        <v>100</v>
      </c>
      <c r="D57" s="64" t="s">
        <v>23</v>
      </c>
      <c r="E57" s="79">
        <v>30.5</v>
      </c>
      <c r="F57" s="33">
        <f>E57/E118</f>
        <v>4.887820512820513E-4</v>
      </c>
      <c r="G57" s="33">
        <v>53000</v>
      </c>
      <c r="H57" s="34">
        <f t="shared" si="8"/>
        <v>25.905448717948719</v>
      </c>
      <c r="I57" s="34">
        <v>25</v>
      </c>
      <c r="J57" s="34">
        <v>25</v>
      </c>
      <c r="K57" s="34">
        <v>25</v>
      </c>
      <c r="L57" s="34">
        <v>25</v>
      </c>
      <c r="M57" s="34">
        <v>25</v>
      </c>
      <c r="N57" s="34"/>
      <c r="O57" s="34">
        <v>25</v>
      </c>
      <c r="P57" s="35">
        <v>25</v>
      </c>
      <c r="Q57" s="16">
        <f t="shared" si="15"/>
        <v>100</v>
      </c>
      <c r="R57" s="16">
        <f t="shared" si="16"/>
        <v>0</v>
      </c>
      <c r="S57" s="16">
        <f t="shared" si="17"/>
        <v>0</v>
      </c>
      <c r="T57" s="34">
        <v>25</v>
      </c>
      <c r="U57" s="34">
        <v>25</v>
      </c>
      <c r="V57" s="16">
        <f t="shared" si="9"/>
        <v>100</v>
      </c>
      <c r="W57" s="17"/>
    </row>
    <row r="58" spans="1:23" ht="38.25">
      <c r="B58" s="26" t="s">
        <v>101</v>
      </c>
      <c r="C58" s="74" t="s">
        <v>102</v>
      </c>
      <c r="D58" s="64" t="s">
        <v>23</v>
      </c>
      <c r="E58" s="79">
        <v>28.94</v>
      </c>
      <c r="F58" s="33">
        <f>E58/E118</f>
        <v>4.6378205128205129E-4</v>
      </c>
      <c r="G58" s="33">
        <v>53000</v>
      </c>
      <c r="H58" s="34">
        <f t="shared" si="8"/>
        <v>24.58044871794872</v>
      </c>
      <c r="I58" s="34">
        <v>25</v>
      </c>
      <c r="J58" s="34">
        <v>25</v>
      </c>
      <c r="K58" s="34">
        <f>4+3+1</f>
        <v>8</v>
      </c>
      <c r="L58" s="34">
        <v>5.25</v>
      </c>
      <c r="M58" s="34">
        <v>5.25</v>
      </c>
      <c r="N58" s="34"/>
      <c r="O58" s="34">
        <v>13.55</v>
      </c>
      <c r="P58" s="35">
        <v>16.54</v>
      </c>
      <c r="Q58" s="16">
        <f t="shared" si="15"/>
        <v>122.06642066420663</v>
      </c>
      <c r="R58" s="16">
        <f t="shared" si="16"/>
        <v>-22.066420664206632</v>
      </c>
      <c r="S58" s="16">
        <f>O58-P58</f>
        <v>-2.9899999999999984</v>
      </c>
      <c r="T58" s="34">
        <v>13.55</v>
      </c>
      <c r="U58" s="34">
        <v>16.54</v>
      </c>
      <c r="V58" s="16">
        <f t="shared" si="9"/>
        <v>122.06642066420663</v>
      </c>
      <c r="W58" s="31" t="s">
        <v>103</v>
      </c>
    </row>
    <row r="59" spans="1:23" hidden="1">
      <c r="B59" s="33"/>
      <c r="C59" s="74" t="s">
        <v>104</v>
      </c>
      <c r="D59" s="33"/>
      <c r="E59" s="79"/>
      <c r="F59" s="17"/>
      <c r="G59" s="17"/>
      <c r="H59" s="27"/>
      <c r="I59" s="27">
        <v>150</v>
      </c>
      <c r="J59" s="27">
        <v>150</v>
      </c>
      <c r="K59" s="27"/>
      <c r="L59" s="27"/>
      <c r="M59" s="27"/>
      <c r="N59" s="27"/>
      <c r="O59" s="27"/>
      <c r="P59" s="28"/>
      <c r="Q59" s="29" t="e">
        <f t="shared" si="15"/>
        <v>#DIV/0!</v>
      </c>
      <c r="R59" s="29" t="e">
        <f t="shared" si="16"/>
        <v>#DIV/0!</v>
      </c>
      <c r="S59" s="29">
        <f t="shared" ref="S59:S63" si="18">O59-P59</f>
        <v>0</v>
      </c>
      <c r="T59" s="27"/>
      <c r="U59" s="27"/>
      <c r="V59" s="16" t="e">
        <f t="shared" si="9"/>
        <v>#DIV/0!</v>
      </c>
      <c r="W59" s="17"/>
    </row>
    <row r="60" spans="1:23" hidden="1">
      <c r="B60" s="33"/>
      <c r="C60" s="74" t="s">
        <v>105</v>
      </c>
      <c r="D60" s="33"/>
      <c r="E60" s="79"/>
      <c r="F60" s="17"/>
      <c r="G60" s="17"/>
      <c r="H60" s="27"/>
      <c r="I60" s="27">
        <v>131.58000000000001</v>
      </c>
      <c r="J60" s="27"/>
      <c r="K60" s="27"/>
      <c r="L60" s="27"/>
      <c r="M60" s="27"/>
      <c r="N60" s="27"/>
      <c r="O60" s="27"/>
      <c r="P60" s="28"/>
      <c r="Q60" s="29" t="e">
        <f t="shared" si="15"/>
        <v>#DIV/0!</v>
      </c>
      <c r="R60" s="29" t="e">
        <f t="shared" si="16"/>
        <v>#DIV/0!</v>
      </c>
      <c r="S60" s="29">
        <f t="shared" si="18"/>
        <v>0</v>
      </c>
      <c r="T60" s="27"/>
      <c r="U60" s="27"/>
      <c r="V60" s="16" t="e">
        <f t="shared" si="9"/>
        <v>#DIV/0!</v>
      </c>
      <c r="W60" s="17"/>
    </row>
    <row r="61" spans="1:23" hidden="1">
      <c r="B61" s="33"/>
      <c r="C61" s="74" t="s">
        <v>106</v>
      </c>
      <c r="D61" s="33"/>
      <c r="E61" s="79"/>
      <c r="F61" s="17"/>
      <c r="G61" s="17"/>
      <c r="H61" s="27"/>
      <c r="I61" s="27"/>
      <c r="J61" s="27"/>
      <c r="K61" s="27">
        <v>55</v>
      </c>
      <c r="L61" s="27">
        <v>55</v>
      </c>
      <c r="M61" s="27">
        <v>55</v>
      </c>
      <c r="N61" s="27"/>
      <c r="O61" s="27"/>
      <c r="P61" s="28"/>
      <c r="Q61" s="29" t="e">
        <f t="shared" si="15"/>
        <v>#DIV/0!</v>
      </c>
      <c r="R61" s="29" t="e">
        <f t="shared" si="16"/>
        <v>#DIV/0!</v>
      </c>
      <c r="S61" s="29">
        <f t="shared" si="18"/>
        <v>0</v>
      </c>
      <c r="T61" s="27"/>
      <c r="U61" s="27"/>
      <c r="V61" s="16" t="e">
        <f t="shared" si="9"/>
        <v>#DIV/0!</v>
      </c>
      <c r="W61" s="17"/>
    </row>
    <row r="62" spans="1:23" hidden="1">
      <c r="B62" s="33"/>
      <c r="C62" s="74" t="s">
        <v>107</v>
      </c>
      <c r="D62" s="33"/>
      <c r="E62" s="79"/>
      <c r="F62" s="17"/>
      <c r="G62" s="17"/>
      <c r="H62" s="27"/>
      <c r="I62" s="27"/>
      <c r="J62" s="27"/>
      <c r="K62" s="27">
        <v>15</v>
      </c>
      <c r="L62" s="27">
        <v>15</v>
      </c>
      <c r="M62" s="27">
        <v>15</v>
      </c>
      <c r="N62" s="27"/>
      <c r="O62" s="27"/>
      <c r="P62" s="28"/>
      <c r="Q62" s="29" t="e">
        <f t="shared" si="15"/>
        <v>#DIV/0!</v>
      </c>
      <c r="R62" s="29" t="e">
        <f t="shared" si="16"/>
        <v>#DIV/0!</v>
      </c>
      <c r="S62" s="29">
        <f t="shared" si="18"/>
        <v>0</v>
      </c>
      <c r="T62" s="27"/>
      <c r="U62" s="27"/>
      <c r="V62" s="16" t="e">
        <f t="shared" si="9"/>
        <v>#DIV/0!</v>
      </c>
      <c r="W62" s="17"/>
    </row>
    <row r="63" spans="1:23" ht="27.75" customHeight="1">
      <c r="A63" s="6"/>
      <c r="B63" s="147" t="s">
        <v>108</v>
      </c>
      <c r="C63" s="60" t="s">
        <v>109</v>
      </c>
      <c r="D63" s="25" t="s">
        <v>21</v>
      </c>
      <c r="E63" s="61">
        <f>E64</f>
        <v>38056.140000000007</v>
      </c>
      <c r="F63" s="148">
        <f>F64</f>
        <v>0.70987243589743598</v>
      </c>
      <c r="G63" s="148"/>
      <c r="H63" s="56">
        <f t="shared" ref="H63:M63" si="19">H64</f>
        <v>32323.339102564092</v>
      </c>
      <c r="I63" s="56">
        <f t="shared" si="19"/>
        <v>27958.218999999997</v>
      </c>
      <c r="J63" s="56">
        <f t="shared" si="19"/>
        <v>27955.609000000004</v>
      </c>
      <c r="K63" s="56">
        <f t="shared" si="19"/>
        <v>29333</v>
      </c>
      <c r="L63" s="56">
        <f t="shared" si="19"/>
        <v>20237.937000000002</v>
      </c>
      <c r="M63" s="56">
        <f t="shared" si="19"/>
        <v>20196.058999999997</v>
      </c>
      <c r="N63" s="56"/>
      <c r="O63" s="55">
        <f>O64</f>
        <v>28601.914999999997</v>
      </c>
      <c r="P63" s="55">
        <f>P64</f>
        <v>28355.053</v>
      </c>
      <c r="Q63" s="22">
        <f t="shared" si="15"/>
        <v>99.136903945068028</v>
      </c>
      <c r="R63" s="22">
        <f t="shared" si="16"/>
        <v>0.86309605493197239</v>
      </c>
      <c r="S63" s="22">
        <f t="shared" si="18"/>
        <v>246.86199999999735</v>
      </c>
      <c r="T63" s="55">
        <f>T64</f>
        <v>28601.914999999997</v>
      </c>
      <c r="U63" s="104">
        <f>U64</f>
        <v>28457.236000000004</v>
      </c>
      <c r="V63" s="22">
        <f t="shared" si="9"/>
        <v>99.494163240468367</v>
      </c>
      <c r="W63" s="17"/>
    </row>
    <row r="64" spans="1:23">
      <c r="A64" s="6"/>
      <c r="B64" s="81" t="s">
        <v>110</v>
      </c>
      <c r="C64" s="82" t="s">
        <v>111</v>
      </c>
      <c r="D64" s="81" t="s">
        <v>23</v>
      </c>
      <c r="E64" s="79">
        <f>E65+E69+E75+E76+E77+E80+E86+E87+E88+E93+E97+E98+0.1</f>
        <v>38056.140000000007</v>
      </c>
      <c r="F64" s="79">
        <f>F65+F69+F75+F76+F77+F80+F86+F87+F88+F93+F97+F98+0.1</f>
        <v>0.70987243589743598</v>
      </c>
      <c r="G64" s="79"/>
      <c r="H64" s="79">
        <f>H65+H69+H75+H76+H77+H80+H86+H87+H88+H93+H97+H98+0.1</f>
        <v>32323.339102564092</v>
      </c>
      <c r="I64" s="79">
        <f>I65+I69+I75+I76+I77+I80+I86+I87+I88+I93+I97+I98+0.1</f>
        <v>27958.218999999997</v>
      </c>
      <c r="J64" s="65">
        <f>J65+J69+J75+J76+J77+J80+J86+J87+J88+J93+J97+J98</f>
        <v>27955.609000000004</v>
      </c>
      <c r="K64" s="65">
        <f>K65+K69+K75+K76+K77+K80+K86+K87+K88+K93+K97+K98</f>
        <v>29333</v>
      </c>
      <c r="L64" s="65">
        <f>L65+L69+L75+L76+L77+L80+L86+L87+L88+L93+L97+L98</f>
        <v>20237.937000000002</v>
      </c>
      <c r="M64" s="65">
        <f>M65+M69+M75+M76+M77+M80+M86+M87+M88+M93+M97+M98</f>
        <v>20196.058999999997</v>
      </c>
      <c r="N64" s="65">
        <f t="shared" ref="N64:P64" si="20">N65+N69+N75+N76+N77+N80+N86+N87+N88+N93+N97+N98</f>
        <v>0</v>
      </c>
      <c r="O64" s="65">
        <f t="shared" si="20"/>
        <v>28601.914999999997</v>
      </c>
      <c r="P64" s="65">
        <f t="shared" si="20"/>
        <v>28355.053</v>
      </c>
      <c r="Q64" s="29"/>
      <c r="R64" s="29"/>
      <c r="S64" s="29"/>
      <c r="T64" s="65">
        <f t="shared" ref="T64:U64" si="21">T65+T69+T75+T76+T77+T80+T86+T87+T88+T93+T97+T98</f>
        <v>28601.914999999997</v>
      </c>
      <c r="U64" s="83">
        <f t="shared" si="21"/>
        <v>28457.236000000004</v>
      </c>
      <c r="V64" s="16">
        <f t="shared" si="9"/>
        <v>99.494163240468367</v>
      </c>
      <c r="W64" s="17"/>
    </row>
    <row r="65" spans="1:23">
      <c r="A65" s="6"/>
      <c r="B65" s="84" t="s">
        <v>112</v>
      </c>
      <c r="C65" s="60" t="s">
        <v>113</v>
      </c>
      <c r="D65" s="64" t="s">
        <v>23</v>
      </c>
      <c r="E65" s="61">
        <f>E66+E67+E68</f>
        <v>914.62</v>
      </c>
      <c r="F65" s="61">
        <f>F66+F67+F68</f>
        <v>1.4657371794871796E-2</v>
      </c>
      <c r="G65" s="61"/>
      <c r="H65" s="56">
        <f t="shared" ref="H65:P65" si="22">H66+H67+H68</f>
        <v>776.84070512820506</v>
      </c>
      <c r="I65" s="56">
        <f t="shared" si="22"/>
        <v>959</v>
      </c>
      <c r="J65" s="56">
        <f t="shared" si="22"/>
        <v>869</v>
      </c>
      <c r="K65" s="56">
        <f t="shared" si="22"/>
        <v>943</v>
      </c>
      <c r="L65" s="56">
        <f t="shared" si="22"/>
        <v>559.26099999999997</v>
      </c>
      <c r="M65" s="56">
        <f t="shared" si="22"/>
        <v>559.26099999999997</v>
      </c>
      <c r="N65" s="56">
        <f t="shared" si="22"/>
        <v>0</v>
      </c>
      <c r="O65" s="56">
        <f t="shared" si="22"/>
        <v>936.64799999999991</v>
      </c>
      <c r="P65" s="56">
        <f t="shared" si="22"/>
        <v>928.83899999999994</v>
      </c>
      <c r="Q65" s="85">
        <f>P65/O65*100</f>
        <v>99.166282317370019</v>
      </c>
      <c r="R65" s="85">
        <f>100-Q65</f>
        <v>0.83371768262998103</v>
      </c>
      <c r="S65" s="85">
        <f t="shared" ref="S65:S115" si="23">O65-P65</f>
        <v>7.8089999999999691</v>
      </c>
      <c r="T65" s="56">
        <f t="shared" ref="T65:U65" si="24">T66+T67+T68</f>
        <v>936.64799999999991</v>
      </c>
      <c r="U65" s="86">
        <f t="shared" si="24"/>
        <v>928.83899999999994</v>
      </c>
      <c r="V65" s="22">
        <f t="shared" si="9"/>
        <v>99.166282317370019</v>
      </c>
      <c r="W65" s="33"/>
    </row>
    <row r="66" spans="1:23">
      <c r="A66" s="6"/>
      <c r="B66" s="87" t="s">
        <v>114</v>
      </c>
      <c r="C66" s="82" t="s">
        <v>115</v>
      </c>
      <c r="D66" s="81" t="s">
        <v>23</v>
      </c>
      <c r="E66" s="88">
        <v>312.8</v>
      </c>
      <c r="F66" s="17">
        <f>E66/E118</f>
        <v>5.0128205128205129E-3</v>
      </c>
      <c r="G66" s="17">
        <v>53000</v>
      </c>
      <c r="H66" s="27">
        <f>F66*G66</f>
        <v>265.67948717948718</v>
      </c>
      <c r="I66" s="27">
        <f>90+90</f>
        <v>180</v>
      </c>
      <c r="J66" s="27">
        <v>90</v>
      </c>
      <c r="K66" s="27">
        <v>90</v>
      </c>
      <c r="L66" s="27"/>
      <c r="M66" s="27"/>
      <c r="N66" s="27"/>
      <c r="O66" s="27">
        <v>137.91999999999999</v>
      </c>
      <c r="P66" s="28">
        <v>135.9</v>
      </c>
      <c r="Q66" s="29">
        <f t="shared" ref="Q66:Q68" si="25">P66/O66*100</f>
        <v>98.53538283062646</v>
      </c>
      <c r="R66" s="29">
        <f t="shared" ref="R66:R68" si="26">100-Q66</f>
        <v>1.4646171693735397</v>
      </c>
      <c r="S66" s="29">
        <f t="shared" si="23"/>
        <v>2.0199999999999818</v>
      </c>
      <c r="T66" s="27">
        <v>137.91999999999999</v>
      </c>
      <c r="U66" s="89">
        <v>135.9</v>
      </c>
      <c r="V66" s="16">
        <f t="shared" si="9"/>
        <v>98.53538283062646</v>
      </c>
      <c r="W66" s="33"/>
    </row>
    <row r="67" spans="1:23">
      <c r="A67" s="6"/>
      <c r="B67" s="87" t="s">
        <v>116</v>
      </c>
      <c r="C67" s="82" t="s">
        <v>117</v>
      </c>
      <c r="D67" s="81" t="s">
        <v>23</v>
      </c>
      <c r="E67" s="79">
        <v>355.72</v>
      </c>
      <c r="F67" s="17">
        <f>E67/E118</f>
        <v>5.700641025641026E-3</v>
      </c>
      <c r="G67" s="17">
        <v>53000</v>
      </c>
      <c r="H67" s="27">
        <f t="shared" ref="H67:H98" si="27">F67*G67</f>
        <v>302.1339743589744</v>
      </c>
      <c r="I67" s="27">
        <v>529</v>
      </c>
      <c r="J67" s="27">
        <v>529</v>
      </c>
      <c r="K67" s="27">
        <v>603</v>
      </c>
      <c r="L67" s="27">
        <v>400.97300000000001</v>
      </c>
      <c r="M67" s="27">
        <v>400.97300000000001</v>
      </c>
      <c r="N67" s="27"/>
      <c r="O67" s="27">
        <v>577.44799999999998</v>
      </c>
      <c r="P67" s="28">
        <v>568.48299999999995</v>
      </c>
      <c r="Q67" s="29">
        <f t="shared" si="25"/>
        <v>98.447479253543165</v>
      </c>
      <c r="R67" s="29">
        <f t="shared" si="26"/>
        <v>1.5525207464568354</v>
      </c>
      <c r="S67" s="29">
        <f t="shared" si="23"/>
        <v>8.9650000000000318</v>
      </c>
      <c r="T67" s="27">
        <v>577.44799999999998</v>
      </c>
      <c r="U67" s="89">
        <v>568.48299999999995</v>
      </c>
      <c r="V67" s="16">
        <f t="shared" si="9"/>
        <v>98.447479253543165</v>
      </c>
      <c r="W67" s="17"/>
    </row>
    <row r="68" spans="1:23">
      <c r="A68" s="6"/>
      <c r="B68" s="90" t="s">
        <v>118</v>
      </c>
      <c r="C68" s="31" t="s">
        <v>30</v>
      </c>
      <c r="D68" s="64" t="s">
        <v>23</v>
      </c>
      <c r="E68" s="79">
        <v>246.1</v>
      </c>
      <c r="F68" s="33">
        <f>E68/E118</f>
        <v>3.943910256410256E-3</v>
      </c>
      <c r="G68" s="33">
        <v>53000</v>
      </c>
      <c r="H68" s="34">
        <f t="shared" si="27"/>
        <v>209.02724358974356</v>
      </c>
      <c r="I68" s="34">
        <v>250</v>
      </c>
      <c r="J68" s="34">
        <v>250</v>
      </c>
      <c r="K68" s="34">
        <v>250</v>
      </c>
      <c r="L68" s="34">
        <v>158.28800000000001</v>
      </c>
      <c r="M68" s="34">
        <v>158.28800000000001</v>
      </c>
      <c r="N68" s="34"/>
      <c r="O68" s="34">
        <v>221.28</v>
      </c>
      <c r="P68" s="35">
        <v>224.45599999999999</v>
      </c>
      <c r="Q68" s="16">
        <f t="shared" si="25"/>
        <v>101.4352856109906</v>
      </c>
      <c r="R68" s="16">
        <f t="shared" si="26"/>
        <v>-1.4352856109906043</v>
      </c>
      <c r="S68" s="16">
        <f t="shared" si="23"/>
        <v>-3.1759999999999877</v>
      </c>
      <c r="T68" s="34">
        <v>221.28</v>
      </c>
      <c r="U68" s="91">
        <v>224.45599999999999</v>
      </c>
      <c r="V68" s="16">
        <f t="shared" si="9"/>
        <v>101.4352856109906</v>
      </c>
      <c r="W68" s="58"/>
    </row>
    <row r="69" spans="1:23">
      <c r="A69" s="6"/>
      <c r="B69" s="25" t="s">
        <v>119</v>
      </c>
      <c r="C69" s="92" t="s">
        <v>33</v>
      </c>
      <c r="D69" s="81" t="s">
        <v>23</v>
      </c>
      <c r="E69" s="19">
        <f>E70+E73</f>
        <v>30720.7</v>
      </c>
      <c r="F69" s="19">
        <f>F70+F73</f>
        <v>0.49231891025641028</v>
      </c>
      <c r="G69" s="19"/>
      <c r="H69" s="21">
        <f>H70+H73</f>
        <v>26092.902243589742</v>
      </c>
      <c r="I69" s="56">
        <f t="shared" ref="I69:P69" si="28">I70+I73+I74</f>
        <v>20424.999</v>
      </c>
      <c r="J69" s="56">
        <f t="shared" si="28"/>
        <v>18838.779000000002</v>
      </c>
      <c r="K69" s="56">
        <f t="shared" si="28"/>
        <v>18840</v>
      </c>
      <c r="L69" s="56">
        <f t="shared" si="28"/>
        <v>13357.050999999999</v>
      </c>
      <c r="M69" s="56">
        <f t="shared" si="28"/>
        <v>13739.924999999999</v>
      </c>
      <c r="N69" s="56">
        <f t="shared" si="28"/>
        <v>0</v>
      </c>
      <c r="O69" s="56">
        <f t="shared" si="28"/>
        <v>18838.805999999997</v>
      </c>
      <c r="P69" s="56">
        <f t="shared" si="28"/>
        <v>18838.628000000001</v>
      </c>
      <c r="Q69" s="85">
        <f>P69/O69*100</f>
        <v>99.999055141817394</v>
      </c>
      <c r="R69" s="85">
        <f>100-Q69</f>
        <v>9.4485818260636734E-4</v>
      </c>
      <c r="S69" s="85">
        <f t="shared" si="23"/>
        <v>0.17799999999624561</v>
      </c>
      <c r="T69" s="56">
        <f t="shared" ref="T69:U69" si="29">T70+T73+T74</f>
        <v>18838.805999999997</v>
      </c>
      <c r="U69" s="86">
        <f t="shared" si="29"/>
        <v>18838.628000000001</v>
      </c>
      <c r="V69" s="22">
        <f t="shared" si="9"/>
        <v>99.999055141817394</v>
      </c>
      <c r="W69" s="17"/>
    </row>
    <row r="70" spans="1:23">
      <c r="A70" s="6"/>
      <c r="B70" s="93" t="s">
        <v>120</v>
      </c>
      <c r="C70" s="94" t="s">
        <v>121</v>
      </c>
      <c r="D70" s="81" t="s">
        <v>23</v>
      </c>
      <c r="E70" s="79">
        <v>27953.3</v>
      </c>
      <c r="F70" s="17">
        <f>E70/E118</f>
        <v>0.44796955128205129</v>
      </c>
      <c r="G70" s="17">
        <v>53000</v>
      </c>
      <c r="H70" s="27">
        <f t="shared" si="27"/>
        <v>23742.386217948719</v>
      </c>
      <c r="I70" s="27">
        <v>18417.999</v>
      </c>
      <c r="J70" s="95">
        <v>17118.405999999999</v>
      </c>
      <c r="K70" s="27">
        <v>17119</v>
      </c>
      <c r="L70" s="27">
        <v>12139.73</v>
      </c>
      <c r="M70" s="27">
        <v>12499.18</v>
      </c>
      <c r="N70" s="27"/>
      <c r="O70" s="27">
        <v>17118.405999999999</v>
      </c>
      <c r="P70" s="28">
        <v>17132.88</v>
      </c>
      <c r="Q70" s="29">
        <f t="shared" ref="Q70:Q75" si="30">P70/O70*100</f>
        <v>100.08455226497142</v>
      </c>
      <c r="R70" s="29">
        <f t="shared" ref="R70:R75" si="31">100-Q70</f>
        <v>-8.4552264971421209E-2</v>
      </c>
      <c r="S70" s="29">
        <f t="shared" si="23"/>
        <v>-14.474000000001979</v>
      </c>
      <c r="T70" s="27">
        <v>17118.405999999999</v>
      </c>
      <c r="U70" s="89">
        <v>17132.88</v>
      </c>
      <c r="V70" s="16">
        <f t="shared" si="9"/>
        <v>100.08455226497142</v>
      </c>
      <c r="W70" s="17"/>
    </row>
    <row r="71" spans="1:23" hidden="1">
      <c r="A71" s="6"/>
      <c r="B71" s="96"/>
      <c r="C71" s="42" t="s">
        <v>37</v>
      </c>
      <c r="D71" s="43" t="s">
        <v>38</v>
      </c>
      <c r="E71" s="97">
        <f>E70/E72/12*1000</f>
        <v>129413.42592592591</v>
      </c>
      <c r="F71" s="17">
        <f>E71/E118</f>
        <v>2.073933107787274</v>
      </c>
      <c r="G71" s="17">
        <v>53000</v>
      </c>
      <c r="H71" s="27">
        <f t="shared" si="27"/>
        <v>109918.45471272552</v>
      </c>
      <c r="I71" s="45">
        <f>I70/12/I72*1000</f>
        <v>127902.77083333331</v>
      </c>
      <c r="J71" s="45">
        <f>J70/J72/12*1000</f>
        <v>129684.89393939394</v>
      </c>
      <c r="K71" s="27"/>
      <c r="L71" s="27"/>
      <c r="M71" s="27"/>
      <c r="N71" s="27"/>
      <c r="O71" s="27"/>
      <c r="P71" s="28"/>
      <c r="Q71" s="29" t="e">
        <f t="shared" si="30"/>
        <v>#DIV/0!</v>
      </c>
      <c r="R71" s="29" t="e">
        <f t="shared" si="31"/>
        <v>#DIV/0!</v>
      </c>
      <c r="S71" s="29">
        <f t="shared" si="23"/>
        <v>0</v>
      </c>
      <c r="T71" s="27"/>
      <c r="U71" s="89"/>
      <c r="V71" s="16" t="e">
        <f t="shared" si="9"/>
        <v>#DIV/0!</v>
      </c>
      <c r="W71" s="17"/>
    </row>
    <row r="72" spans="1:23" hidden="1">
      <c r="A72" s="6"/>
      <c r="B72" s="98"/>
      <c r="C72" s="42" t="s">
        <v>39</v>
      </c>
      <c r="D72" s="43" t="s">
        <v>40</v>
      </c>
      <c r="E72" s="99">
        <v>18</v>
      </c>
      <c r="F72" s="17">
        <f>E72/E118</f>
        <v>2.8846153846153849E-4</v>
      </c>
      <c r="G72" s="17">
        <v>53000</v>
      </c>
      <c r="H72" s="27">
        <f t="shared" si="27"/>
        <v>15.28846153846154</v>
      </c>
      <c r="I72" s="45">
        <v>12</v>
      </c>
      <c r="J72" s="45">
        <v>11</v>
      </c>
      <c r="K72" s="27"/>
      <c r="L72" s="27"/>
      <c r="M72" s="27"/>
      <c r="N72" s="27"/>
      <c r="O72" s="27"/>
      <c r="P72" s="28"/>
      <c r="Q72" s="29" t="e">
        <f t="shared" si="30"/>
        <v>#DIV/0!</v>
      </c>
      <c r="R72" s="29" t="e">
        <f t="shared" si="31"/>
        <v>#DIV/0!</v>
      </c>
      <c r="S72" s="29">
        <f t="shared" si="23"/>
        <v>0</v>
      </c>
      <c r="T72" s="27"/>
      <c r="U72" s="89"/>
      <c r="V72" s="16" t="e">
        <f t="shared" si="9"/>
        <v>#DIV/0!</v>
      </c>
      <c r="W72" s="17"/>
    </row>
    <row r="73" spans="1:23">
      <c r="A73" s="6"/>
      <c r="B73" s="25" t="s">
        <v>122</v>
      </c>
      <c r="C73" s="100" t="s">
        <v>123</v>
      </c>
      <c r="D73" s="81" t="s">
        <v>23</v>
      </c>
      <c r="E73" s="101">
        <v>2767.4</v>
      </c>
      <c r="F73" s="17">
        <f>E73/E118</f>
        <v>4.4349358974358974E-2</v>
      </c>
      <c r="G73" s="17">
        <v>53000</v>
      </c>
      <c r="H73" s="27">
        <f t="shared" si="27"/>
        <v>2350.5160256410254</v>
      </c>
      <c r="I73" s="27">
        <v>1823</v>
      </c>
      <c r="J73" s="27">
        <v>1463.597</v>
      </c>
      <c r="K73" s="27">
        <v>1464</v>
      </c>
      <c r="L73" s="27">
        <v>1051.5029999999999</v>
      </c>
      <c r="M73" s="27">
        <f>688.73+384.731</f>
        <v>1073.461</v>
      </c>
      <c r="N73" s="27"/>
      <c r="O73" s="27">
        <f>924.39+539.23</f>
        <v>1463.62</v>
      </c>
      <c r="P73" s="28">
        <f>529.992+939.093</f>
        <v>1469.085</v>
      </c>
      <c r="Q73" s="29">
        <f t="shared" si="30"/>
        <v>100.37338926770612</v>
      </c>
      <c r="R73" s="29">
        <f t="shared" si="31"/>
        <v>-0.37338926770611636</v>
      </c>
      <c r="S73" s="29">
        <f t="shared" si="23"/>
        <v>-5.4650000000001455</v>
      </c>
      <c r="T73" s="27">
        <f>924.39+539.23</f>
        <v>1463.62</v>
      </c>
      <c r="U73" s="89">
        <f>529.992+939.093</f>
        <v>1469.085</v>
      </c>
      <c r="V73" s="16">
        <f t="shared" si="9"/>
        <v>100.37338926770612</v>
      </c>
      <c r="W73" s="17"/>
    </row>
    <row r="74" spans="1:23" ht="25.5">
      <c r="A74" s="6"/>
      <c r="B74" s="25" t="s">
        <v>124</v>
      </c>
      <c r="C74" s="100" t="s">
        <v>44</v>
      </c>
      <c r="D74" s="81" t="s">
        <v>23</v>
      </c>
      <c r="E74" s="101"/>
      <c r="F74" s="17"/>
      <c r="G74" s="17"/>
      <c r="H74" s="27"/>
      <c r="I74" s="27">
        <v>184</v>
      </c>
      <c r="J74" s="27">
        <v>256.77600000000001</v>
      </c>
      <c r="K74" s="27">
        <v>257</v>
      </c>
      <c r="L74" s="27">
        <v>165.81800000000001</v>
      </c>
      <c r="M74" s="27">
        <v>167.28399999999999</v>
      </c>
      <c r="N74" s="27"/>
      <c r="O74" s="27">
        <v>256.77999999999997</v>
      </c>
      <c r="P74" s="28">
        <v>236.66300000000001</v>
      </c>
      <c r="Q74" s="29">
        <f t="shared" si="30"/>
        <v>92.165667108030235</v>
      </c>
      <c r="R74" s="29">
        <f t="shared" si="31"/>
        <v>7.8343328919697655</v>
      </c>
      <c r="S74" s="29">
        <f t="shared" si="23"/>
        <v>20.116999999999962</v>
      </c>
      <c r="T74" s="34">
        <v>256.77999999999997</v>
      </c>
      <c r="U74" s="91">
        <v>236.66300000000001</v>
      </c>
      <c r="V74" s="16">
        <f t="shared" si="9"/>
        <v>92.165667108030235</v>
      </c>
      <c r="W74" s="58" t="s">
        <v>125</v>
      </c>
    </row>
    <row r="75" spans="1:23" ht="25.5">
      <c r="A75" s="6"/>
      <c r="B75" s="102" t="s">
        <v>126</v>
      </c>
      <c r="C75" s="31" t="s">
        <v>127</v>
      </c>
      <c r="D75" s="64" t="s">
        <v>23</v>
      </c>
      <c r="E75" s="79">
        <v>378.5</v>
      </c>
      <c r="F75" s="33">
        <f>E75/E118</f>
        <v>6.0657051282051282E-3</v>
      </c>
      <c r="G75" s="33">
        <v>53000</v>
      </c>
      <c r="H75" s="34">
        <f t="shared" si="27"/>
        <v>321.48237179487177</v>
      </c>
      <c r="I75" s="34">
        <v>250</v>
      </c>
      <c r="J75" s="65">
        <v>250</v>
      </c>
      <c r="K75" s="34">
        <v>250</v>
      </c>
      <c r="L75" s="34">
        <v>149.39599999999999</v>
      </c>
      <c r="M75" s="34">
        <v>149.39599999999999</v>
      </c>
      <c r="N75" s="34"/>
      <c r="O75" s="55">
        <v>185</v>
      </c>
      <c r="P75" s="103">
        <v>195.85599999999999</v>
      </c>
      <c r="Q75" s="22">
        <f t="shared" si="30"/>
        <v>105.86810810810809</v>
      </c>
      <c r="R75" s="22">
        <f t="shared" si="31"/>
        <v>-5.868108108108089</v>
      </c>
      <c r="S75" s="22">
        <f t="shared" si="23"/>
        <v>-10.855999999999995</v>
      </c>
      <c r="T75" s="55">
        <v>185</v>
      </c>
      <c r="U75" s="104">
        <v>195.85599999999999</v>
      </c>
      <c r="V75" s="22">
        <f t="shared" si="9"/>
        <v>105.86810810810809</v>
      </c>
      <c r="W75" s="31" t="s">
        <v>128</v>
      </c>
    </row>
    <row r="76" spans="1:23" ht="18.75" customHeight="1">
      <c r="A76" s="6"/>
      <c r="B76" s="102" t="s">
        <v>129</v>
      </c>
      <c r="C76" s="82" t="s">
        <v>130</v>
      </c>
      <c r="D76" s="81" t="s">
        <v>23</v>
      </c>
      <c r="E76" s="79">
        <v>22.2</v>
      </c>
      <c r="F76" s="17">
        <f>E76/E118</f>
        <v>3.5576923076923074E-4</v>
      </c>
      <c r="G76" s="17">
        <v>53000</v>
      </c>
      <c r="H76" s="27">
        <f t="shared" si="27"/>
        <v>18.85576923076923</v>
      </c>
      <c r="I76" s="27">
        <v>4</v>
      </c>
      <c r="J76" s="67">
        <v>4</v>
      </c>
      <c r="K76" s="27">
        <v>0</v>
      </c>
      <c r="L76" s="27"/>
      <c r="M76" s="27"/>
      <c r="N76" s="27"/>
      <c r="O76" s="50">
        <v>0</v>
      </c>
      <c r="P76" s="105"/>
      <c r="Q76" s="29"/>
      <c r="R76" s="29"/>
      <c r="S76" s="29">
        <f t="shared" si="23"/>
        <v>0</v>
      </c>
      <c r="T76" s="50">
        <v>0</v>
      </c>
      <c r="U76" s="106">
        <v>0</v>
      </c>
      <c r="V76" s="16"/>
      <c r="W76" s="17"/>
    </row>
    <row r="77" spans="1:23" ht="25.5">
      <c r="A77" s="6"/>
      <c r="B77" s="102" t="s">
        <v>131</v>
      </c>
      <c r="C77" s="31" t="s">
        <v>132</v>
      </c>
      <c r="D77" s="64" t="s">
        <v>23</v>
      </c>
      <c r="E77" s="79">
        <v>410.2</v>
      </c>
      <c r="F77" s="33">
        <f>E77/E118</f>
        <v>6.5737179487179486E-3</v>
      </c>
      <c r="G77" s="33">
        <v>53000</v>
      </c>
      <c r="H77" s="34">
        <f t="shared" si="27"/>
        <v>348.40705128205127</v>
      </c>
      <c r="I77" s="34">
        <f>I78+I79</f>
        <v>417</v>
      </c>
      <c r="J77" s="65">
        <f>J78+J79</f>
        <v>302</v>
      </c>
      <c r="K77" s="34">
        <f>K78+K79</f>
        <v>277</v>
      </c>
      <c r="L77" s="34">
        <f>L78+L79</f>
        <v>301.69099999999997</v>
      </c>
      <c r="M77" s="34">
        <f>M78+M79</f>
        <v>301.69099999999997</v>
      </c>
      <c r="N77" s="34"/>
      <c r="O77" s="55">
        <v>314.58999999999997</v>
      </c>
      <c r="P77" s="103">
        <f>P78+P79</f>
        <v>302.33799999999997</v>
      </c>
      <c r="Q77" s="22">
        <f>P77/O77*100</f>
        <v>96.105407037731652</v>
      </c>
      <c r="R77" s="22">
        <f>100-Q77</f>
        <v>3.8945929622683479</v>
      </c>
      <c r="S77" s="22">
        <f t="shared" si="23"/>
        <v>12.25200000000001</v>
      </c>
      <c r="T77" s="55">
        <v>314.58999999999997</v>
      </c>
      <c r="U77" s="104">
        <f>U78+U79</f>
        <v>302.33799999999997</v>
      </c>
      <c r="V77" s="22">
        <f t="shared" si="9"/>
        <v>96.105407037731652</v>
      </c>
      <c r="W77" s="33" t="s">
        <v>60</v>
      </c>
    </row>
    <row r="78" spans="1:23" hidden="1">
      <c r="A78" s="6"/>
      <c r="B78" s="102"/>
      <c r="C78" s="107" t="s">
        <v>133</v>
      </c>
      <c r="D78" s="108"/>
      <c r="E78" s="99"/>
      <c r="F78" s="77"/>
      <c r="G78" s="77"/>
      <c r="H78" s="78"/>
      <c r="I78" s="78">
        <v>210</v>
      </c>
      <c r="J78" s="27">
        <v>95</v>
      </c>
      <c r="K78" s="27">
        <v>70</v>
      </c>
      <c r="L78" s="27">
        <v>49</v>
      </c>
      <c r="M78" s="27">
        <v>49</v>
      </c>
      <c r="N78" s="27"/>
      <c r="O78" s="27"/>
      <c r="P78" s="28"/>
      <c r="Q78" s="29"/>
      <c r="R78" s="29"/>
      <c r="S78" s="29">
        <f t="shared" si="23"/>
        <v>0</v>
      </c>
      <c r="T78" s="27"/>
      <c r="U78" s="89"/>
      <c r="V78" s="16" t="e">
        <f t="shared" si="9"/>
        <v>#DIV/0!</v>
      </c>
      <c r="W78" s="17"/>
    </row>
    <row r="79" spans="1:23" hidden="1">
      <c r="A79" s="6"/>
      <c r="B79" s="102"/>
      <c r="C79" s="107" t="s">
        <v>134</v>
      </c>
      <c r="D79" s="108"/>
      <c r="E79" s="99"/>
      <c r="F79" s="77"/>
      <c r="G79" s="77"/>
      <c r="H79" s="78"/>
      <c r="I79" s="78">
        <v>207</v>
      </c>
      <c r="J79" s="27">
        <v>207</v>
      </c>
      <c r="K79" s="27">
        <v>207</v>
      </c>
      <c r="L79" s="27">
        <f>236.95+15.741</f>
        <v>252.69099999999997</v>
      </c>
      <c r="M79" s="27">
        <f>236.95+15.741</f>
        <v>252.69099999999997</v>
      </c>
      <c r="N79" s="27"/>
      <c r="O79" s="27">
        <v>314.58999999999997</v>
      </c>
      <c r="P79" s="28">
        <f>215+87.338</f>
        <v>302.33799999999997</v>
      </c>
      <c r="Q79" s="29"/>
      <c r="R79" s="29"/>
      <c r="S79" s="29">
        <f t="shared" si="23"/>
        <v>12.25200000000001</v>
      </c>
      <c r="T79" s="27">
        <v>314.58999999999997</v>
      </c>
      <c r="U79" s="89">
        <f>215+87.338</f>
        <v>302.33799999999997</v>
      </c>
      <c r="V79" s="16">
        <f t="shared" si="9"/>
        <v>96.105407037731652</v>
      </c>
      <c r="W79" s="17"/>
    </row>
    <row r="80" spans="1:23" ht="43.5" customHeight="1">
      <c r="A80" s="6"/>
      <c r="B80" s="102" t="s">
        <v>135</v>
      </c>
      <c r="C80" s="31" t="s">
        <v>136</v>
      </c>
      <c r="D80" s="64" t="s">
        <v>23</v>
      </c>
      <c r="E80" s="79">
        <v>1371</v>
      </c>
      <c r="F80" s="33">
        <f>E80/E118</f>
        <v>2.1971153846153845E-2</v>
      </c>
      <c r="G80" s="33">
        <v>53000</v>
      </c>
      <c r="H80" s="34">
        <f t="shared" si="27"/>
        <v>1164.4711538461538</v>
      </c>
      <c r="I80" s="34">
        <f>I81+I82+I84+I85</f>
        <v>1870.84</v>
      </c>
      <c r="J80" s="65">
        <f>J81+J82+J83+J84+J85</f>
        <v>1801.79</v>
      </c>
      <c r="K80" s="56">
        <f>K81+K82+K83+K84+K85</f>
        <v>1580</v>
      </c>
      <c r="L80" s="56">
        <f>L81+L82+L83+L84+L85</f>
        <v>398.69099999999997</v>
      </c>
      <c r="M80" s="56">
        <f>M81+M82+M83+M84+M85</f>
        <v>398.69099999999997</v>
      </c>
      <c r="N80" s="56">
        <f t="shared" ref="N80:P80" si="32">N81+N82+N83+N84+N85</f>
        <v>0</v>
      </c>
      <c r="O80" s="109">
        <f t="shared" si="32"/>
        <v>973.83399999999995</v>
      </c>
      <c r="P80" s="109">
        <f t="shared" si="32"/>
        <v>841.93200000000002</v>
      </c>
      <c r="Q80" s="22">
        <f>P80/O80*100</f>
        <v>86.455391781350826</v>
      </c>
      <c r="R80" s="22">
        <f>100-Q80</f>
        <v>13.544608218649174</v>
      </c>
      <c r="S80" s="22">
        <f t="shared" si="23"/>
        <v>131.90199999999993</v>
      </c>
      <c r="T80" s="109">
        <f t="shared" ref="T80:U80" si="33">T81+T82+T83+T84+T85</f>
        <v>973.83399999999995</v>
      </c>
      <c r="U80" s="110">
        <f t="shared" si="33"/>
        <v>944.11500000000001</v>
      </c>
      <c r="V80" s="22">
        <f t="shared" ref="V80:V115" si="34">U80/T80*100</f>
        <v>96.948247853330244</v>
      </c>
      <c r="W80" s="58" t="s">
        <v>137</v>
      </c>
    </row>
    <row r="81" spans="1:23" hidden="1">
      <c r="A81" s="6"/>
      <c r="B81" s="102"/>
      <c r="C81" s="107" t="s">
        <v>138</v>
      </c>
      <c r="D81" s="81"/>
      <c r="E81" s="79"/>
      <c r="F81" s="17"/>
      <c r="G81" s="17"/>
      <c r="H81" s="27"/>
      <c r="I81" s="27">
        <v>1758</v>
      </c>
      <c r="J81" s="27">
        <v>1658</v>
      </c>
      <c r="K81" s="27">
        <f>661*2+136</f>
        <v>1458</v>
      </c>
      <c r="L81" s="27">
        <v>334.61599999999999</v>
      </c>
      <c r="M81" s="27">
        <v>334.61599999999999</v>
      </c>
      <c r="N81" s="27"/>
      <c r="O81" s="27">
        <v>854.45600000000002</v>
      </c>
      <c r="P81" s="28">
        <f>851.522-125</f>
        <v>726.52200000000005</v>
      </c>
      <c r="Q81" s="29">
        <f t="shared" ref="Q81:Q92" si="35">P81/O81*100</f>
        <v>85.027432658908126</v>
      </c>
      <c r="R81" s="29">
        <f t="shared" ref="R81:R115" si="36">100-Q81</f>
        <v>14.972567341091874</v>
      </c>
      <c r="S81" s="29">
        <f t="shared" si="23"/>
        <v>127.93399999999997</v>
      </c>
      <c r="T81" s="27">
        <v>854.45600000000002</v>
      </c>
      <c r="U81" s="89">
        <f>726.522+102.183</f>
        <v>828.70500000000004</v>
      </c>
      <c r="V81" s="16">
        <f t="shared" si="34"/>
        <v>96.986269626522613</v>
      </c>
      <c r="W81" s="17"/>
    </row>
    <row r="82" spans="1:23" hidden="1">
      <c r="A82" s="6"/>
      <c r="B82" s="102"/>
      <c r="C82" s="107" t="s">
        <v>139</v>
      </c>
      <c r="D82" s="81"/>
      <c r="E82" s="79"/>
      <c r="F82" s="17"/>
      <c r="G82" s="17"/>
      <c r="H82" s="27"/>
      <c r="I82" s="27">
        <v>50</v>
      </c>
      <c r="J82" s="27">
        <v>40</v>
      </c>
      <c r="K82" s="27">
        <f>50+20</f>
        <v>70</v>
      </c>
      <c r="L82" s="27">
        <v>30</v>
      </c>
      <c r="M82" s="27">
        <v>30</v>
      </c>
      <c r="N82" s="27"/>
      <c r="O82" s="27">
        <v>70</v>
      </c>
      <c r="P82" s="28">
        <v>70</v>
      </c>
      <c r="Q82" s="29">
        <f t="shared" si="35"/>
        <v>100</v>
      </c>
      <c r="R82" s="29">
        <f t="shared" si="36"/>
        <v>0</v>
      </c>
      <c r="S82" s="29">
        <f t="shared" si="23"/>
        <v>0</v>
      </c>
      <c r="T82" s="27">
        <v>70</v>
      </c>
      <c r="U82" s="89">
        <v>70</v>
      </c>
      <c r="V82" s="16">
        <f t="shared" si="34"/>
        <v>100</v>
      </c>
      <c r="W82" s="17"/>
    </row>
    <row r="83" spans="1:23" hidden="1">
      <c r="A83" s="6"/>
      <c r="B83" s="102"/>
      <c r="C83" s="107" t="s">
        <v>140</v>
      </c>
      <c r="D83" s="81"/>
      <c r="E83" s="79"/>
      <c r="F83" s="17"/>
      <c r="G83" s="17"/>
      <c r="H83" s="27"/>
      <c r="I83" s="27"/>
      <c r="J83" s="27">
        <v>50</v>
      </c>
      <c r="K83" s="27"/>
      <c r="L83" s="27"/>
      <c r="M83" s="27"/>
      <c r="N83" s="27"/>
      <c r="O83" s="27"/>
      <c r="P83" s="28"/>
      <c r="Q83" s="29"/>
      <c r="R83" s="29"/>
      <c r="S83" s="29">
        <f t="shared" si="23"/>
        <v>0</v>
      </c>
      <c r="T83" s="27"/>
      <c r="U83" s="89"/>
      <c r="V83" s="16"/>
      <c r="W83" s="17"/>
    </row>
    <row r="84" spans="1:23" hidden="1">
      <c r="A84" s="6"/>
      <c r="B84" s="102"/>
      <c r="C84" s="107" t="s">
        <v>141</v>
      </c>
      <c r="D84" s="81"/>
      <c r="E84" s="79"/>
      <c r="F84" s="17"/>
      <c r="G84" s="17"/>
      <c r="H84" s="27"/>
      <c r="I84" s="27">
        <v>23</v>
      </c>
      <c r="J84" s="27">
        <v>23</v>
      </c>
      <c r="K84" s="27">
        <v>21</v>
      </c>
      <c r="L84" s="27">
        <v>7.1870000000000003</v>
      </c>
      <c r="M84" s="27">
        <v>7.1870000000000003</v>
      </c>
      <c r="N84" s="27"/>
      <c r="O84" s="27">
        <v>10.781000000000001</v>
      </c>
      <c r="P84" s="28">
        <v>10.781000000000001</v>
      </c>
      <c r="Q84" s="29">
        <f t="shared" si="35"/>
        <v>100</v>
      </c>
      <c r="R84" s="29">
        <f t="shared" si="36"/>
        <v>0</v>
      </c>
      <c r="S84" s="29">
        <f t="shared" si="23"/>
        <v>0</v>
      </c>
      <c r="T84" s="27">
        <v>10.781000000000001</v>
      </c>
      <c r="U84" s="89">
        <v>10.781000000000001</v>
      </c>
      <c r="V84" s="16">
        <f t="shared" si="34"/>
        <v>100</v>
      </c>
      <c r="W84" s="17"/>
    </row>
    <row r="85" spans="1:23" hidden="1">
      <c r="A85" s="6"/>
      <c r="B85" s="102"/>
      <c r="C85" s="107" t="s">
        <v>142</v>
      </c>
      <c r="D85" s="81"/>
      <c r="E85" s="79"/>
      <c r="F85" s="17"/>
      <c r="G85" s="17"/>
      <c r="H85" s="27"/>
      <c r="I85" s="27">
        <f>0.332*120</f>
        <v>39.840000000000003</v>
      </c>
      <c r="J85" s="27">
        <v>30.79</v>
      </c>
      <c r="K85" s="27">
        <v>31</v>
      </c>
      <c r="L85" s="27">
        <v>26.888000000000002</v>
      </c>
      <c r="M85" s="27">
        <v>26.888000000000002</v>
      </c>
      <c r="N85" s="27"/>
      <c r="O85" s="27">
        <v>38.597000000000001</v>
      </c>
      <c r="P85" s="28">
        <v>34.628999999999998</v>
      </c>
      <c r="Q85" s="29">
        <f t="shared" si="35"/>
        <v>89.719408244164043</v>
      </c>
      <c r="R85" s="29">
        <f t="shared" si="36"/>
        <v>10.280591755835957</v>
      </c>
      <c r="S85" s="29">
        <f t="shared" si="23"/>
        <v>3.9680000000000035</v>
      </c>
      <c r="T85" s="27">
        <v>38.597000000000001</v>
      </c>
      <c r="U85" s="89">
        <v>34.628999999999998</v>
      </c>
      <c r="V85" s="16">
        <f t="shared" si="34"/>
        <v>89.719408244164043</v>
      </c>
      <c r="W85" s="17"/>
    </row>
    <row r="86" spans="1:23" ht="15.75" customHeight="1">
      <c r="A86" s="6"/>
      <c r="B86" s="102" t="s">
        <v>143</v>
      </c>
      <c r="C86" s="82" t="s">
        <v>144</v>
      </c>
      <c r="D86" s="81" t="s">
        <v>23</v>
      </c>
      <c r="E86" s="79">
        <v>126.4</v>
      </c>
      <c r="F86" s="17">
        <f>E86/E118</f>
        <v>2.0256410256410257E-3</v>
      </c>
      <c r="G86" s="17">
        <v>53000</v>
      </c>
      <c r="H86" s="27">
        <f t="shared" si="27"/>
        <v>107.35897435897436</v>
      </c>
      <c r="I86" s="27">
        <v>100</v>
      </c>
      <c r="J86" s="27">
        <v>100</v>
      </c>
      <c r="K86" s="27">
        <v>100</v>
      </c>
      <c r="L86" s="27">
        <v>70</v>
      </c>
      <c r="M86" s="27">
        <v>70</v>
      </c>
      <c r="N86" s="27"/>
      <c r="O86" s="50">
        <v>100</v>
      </c>
      <c r="P86" s="105">
        <v>100</v>
      </c>
      <c r="Q86" s="85">
        <f t="shared" si="35"/>
        <v>100</v>
      </c>
      <c r="R86" s="85">
        <f t="shared" si="36"/>
        <v>0</v>
      </c>
      <c r="S86" s="85">
        <f t="shared" si="23"/>
        <v>0</v>
      </c>
      <c r="T86" s="50">
        <v>100</v>
      </c>
      <c r="U86" s="106">
        <v>100</v>
      </c>
      <c r="V86" s="22">
        <f t="shared" si="34"/>
        <v>100</v>
      </c>
      <c r="W86" s="17"/>
    </row>
    <row r="87" spans="1:23" ht="17.25" customHeight="1">
      <c r="A87" s="6"/>
      <c r="B87" s="102" t="s">
        <v>145</v>
      </c>
      <c r="C87" s="82" t="s">
        <v>146</v>
      </c>
      <c r="D87" s="81" t="s">
        <v>23</v>
      </c>
      <c r="E87" s="79">
        <v>535.9</v>
      </c>
      <c r="F87" s="17">
        <f>E87/E118</f>
        <v>8.5881410256410246E-3</v>
      </c>
      <c r="G87" s="17">
        <v>53000</v>
      </c>
      <c r="H87" s="27">
        <f t="shared" si="27"/>
        <v>455.17147435897431</v>
      </c>
      <c r="I87" s="27">
        <v>540</v>
      </c>
      <c r="J87" s="27">
        <v>1100</v>
      </c>
      <c r="K87" s="27">
        <v>2810</v>
      </c>
      <c r="L87" s="27">
        <v>1830.0360000000001</v>
      </c>
      <c r="M87" s="27">
        <v>1830.0360000000001</v>
      </c>
      <c r="N87" s="27"/>
      <c r="O87" s="50">
        <v>2933.2190000000001</v>
      </c>
      <c r="P87" s="105">
        <v>2861.6170000000002</v>
      </c>
      <c r="Q87" s="85">
        <f t="shared" si="35"/>
        <v>97.558927580927303</v>
      </c>
      <c r="R87" s="85">
        <f t="shared" si="36"/>
        <v>2.4410724190726967</v>
      </c>
      <c r="S87" s="85">
        <f t="shared" si="23"/>
        <v>71.601999999999862</v>
      </c>
      <c r="T87" s="50">
        <v>2933.2190000000001</v>
      </c>
      <c r="U87" s="106">
        <v>2861.6170000000002</v>
      </c>
      <c r="V87" s="22">
        <f t="shared" si="34"/>
        <v>97.558927580927303</v>
      </c>
      <c r="W87" s="17"/>
    </row>
    <row r="88" spans="1:23" ht="40.5" customHeight="1">
      <c r="A88" s="6"/>
      <c r="B88" s="102" t="s">
        <v>147</v>
      </c>
      <c r="C88" s="31" t="s">
        <v>148</v>
      </c>
      <c r="D88" s="64" t="s">
        <v>23</v>
      </c>
      <c r="E88" s="79">
        <v>650.6</v>
      </c>
      <c r="F88" s="33">
        <f>E88/E118</f>
        <v>1.0426282051282052E-2</v>
      </c>
      <c r="G88" s="33">
        <v>53000</v>
      </c>
      <c r="H88" s="34">
        <f t="shared" si="27"/>
        <v>552.59294871794873</v>
      </c>
      <c r="I88" s="34">
        <f>I89+I90+I91</f>
        <v>505</v>
      </c>
      <c r="J88" s="65">
        <f>J89+J90+J91+J92</f>
        <v>505.95</v>
      </c>
      <c r="K88" s="65">
        <f>K89+K90+K91+K92</f>
        <v>505</v>
      </c>
      <c r="L88" s="56">
        <f>SUM(L89:L92)</f>
        <v>288.029</v>
      </c>
      <c r="M88" s="56">
        <f>SUM(M89:M92)</f>
        <v>288.029</v>
      </c>
      <c r="N88" s="56">
        <f t="shared" ref="N88" si="37">SUM(N89:N92)</f>
        <v>0</v>
      </c>
      <c r="O88" s="109">
        <f>SUM(O89:O92)</f>
        <v>387.69500000000005</v>
      </c>
      <c r="P88" s="109">
        <f>SUM(P89:P92)</f>
        <v>379.28100000000001</v>
      </c>
      <c r="Q88" s="22">
        <f>P88/O88*100</f>
        <v>97.829737293491007</v>
      </c>
      <c r="R88" s="22">
        <f>100-Q88</f>
        <v>2.1702627065089928</v>
      </c>
      <c r="S88" s="22">
        <f t="shared" si="23"/>
        <v>8.4140000000000441</v>
      </c>
      <c r="T88" s="109">
        <f>SUM(T89:T92)</f>
        <v>387.69500000000005</v>
      </c>
      <c r="U88" s="110">
        <f>SUM(U89:U92)</f>
        <v>379.28100000000001</v>
      </c>
      <c r="V88" s="22">
        <f t="shared" si="34"/>
        <v>97.829737293491007</v>
      </c>
      <c r="W88" s="58" t="s">
        <v>137</v>
      </c>
    </row>
    <row r="89" spans="1:23" ht="12.75" hidden="1" customHeight="1">
      <c r="A89" s="6"/>
      <c r="B89" s="102"/>
      <c r="C89" s="107" t="s">
        <v>149</v>
      </c>
      <c r="D89" s="81"/>
      <c r="E89" s="79"/>
      <c r="F89" s="17"/>
      <c r="G89" s="17"/>
      <c r="H89" s="27"/>
      <c r="I89" s="27">
        <v>400</v>
      </c>
      <c r="J89" s="27">
        <v>400</v>
      </c>
      <c r="K89" s="27">
        <v>400</v>
      </c>
      <c r="L89" s="27">
        <v>239.68600000000001</v>
      </c>
      <c r="M89" s="27">
        <v>239.68600000000001</v>
      </c>
      <c r="N89" s="27"/>
      <c r="O89" s="27">
        <v>332.68900000000002</v>
      </c>
      <c r="P89" s="28">
        <v>320.17700000000002</v>
      </c>
      <c r="Q89" s="29">
        <f t="shared" si="35"/>
        <v>96.2391302387515</v>
      </c>
      <c r="R89" s="29">
        <f t="shared" si="36"/>
        <v>3.7608697612485003</v>
      </c>
      <c r="S89" s="29">
        <f t="shared" si="23"/>
        <v>12.512</v>
      </c>
      <c r="T89" s="27">
        <v>332.68900000000002</v>
      </c>
      <c r="U89" s="89">
        <v>320.17700000000002</v>
      </c>
      <c r="V89" s="16">
        <f t="shared" si="34"/>
        <v>96.2391302387515</v>
      </c>
      <c r="W89" s="17"/>
    </row>
    <row r="90" spans="1:23" ht="12.75" hidden="1" customHeight="1">
      <c r="A90" s="6"/>
      <c r="B90" s="102"/>
      <c r="C90" s="107" t="s">
        <v>150</v>
      </c>
      <c r="D90" s="81"/>
      <c r="E90" s="79"/>
      <c r="F90" s="17"/>
      <c r="G90" s="17"/>
      <c r="H90" s="27"/>
      <c r="I90" s="27">
        <v>20</v>
      </c>
      <c r="J90" s="27">
        <v>29.05</v>
      </c>
      <c r="K90" s="27">
        <v>29</v>
      </c>
      <c r="L90" s="27">
        <v>2.5979999999999999</v>
      </c>
      <c r="M90" s="27">
        <v>2.5979999999999999</v>
      </c>
      <c r="N90" s="27"/>
      <c r="O90" s="27">
        <v>4.0979999999999999</v>
      </c>
      <c r="P90" s="28">
        <v>9.8309999999999995</v>
      </c>
      <c r="Q90" s="29">
        <f t="shared" si="35"/>
        <v>239.89751098096633</v>
      </c>
      <c r="R90" s="29">
        <f t="shared" si="36"/>
        <v>-139.89751098096633</v>
      </c>
      <c r="S90" s="29">
        <f t="shared" si="23"/>
        <v>-5.7329999999999997</v>
      </c>
      <c r="T90" s="27">
        <v>4.0979999999999999</v>
      </c>
      <c r="U90" s="89">
        <v>9.8309999999999995</v>
      </c>
      <c r="V90" s="16">
        <f t="shared" si="34"/>
        <v>239.89751098096633</v>
      </c>
      <c r="W90" s="17"/>
    </row>
    <row r="91" spans="1:23" ht="12.75" hidden="1" customHeight="1">
      <c r="A91" s="6"/>
      <c r="B91" s="102"/>
      <c r="C91" s="107" t="s">
        <v>151</v>
      </c>
      <c r="D91" s="81"/>
      <c r="E91" s="79"/>
      <c r="F91" s="17"/>
      <c r="G91" s="17"/>
      <c r="H91" s="27"/>
      <c r="I91" s="27">
        <f>60+25</f>
        <v>85</v>
      </c>
      <c r="J91" s="27">
        <v>40</v>
      </c>
      <c r="K91" s="27">
        <v>39</v>
      </c>
      <c r="L91" s="27">
        <v>33.664999999999999</v>
      </c>
      <c r="M91" s="27">
        <v>33.664999999999999</v>
      </c>
      <c r="N91" s="27"/>
      <c r="O91" s="27">
        <v>38.826999999999998</v>
      </c>
      <c r="P91" s="28">
        <v>37.192999999999998</v>
      </c>
      <c r="Q91" s="29">
        <f t="shared" si="35"/>
        <v>95.791588327710102</v>
      </c>
      <c r="R91" s="29">
        <f t="shared" si="36"/>
        <v>4.2084116722898983</v>
      </c>
      <c r="S91" s="29">
        <f t="shared" si="23"/>
        <v>1.6340000000000003</v>
      </c>
      <c r="T91" s="27">
        <v>38.826999999999998</v>
      </c>
      <c r="U91" s="89">
        <v>37.192999999999998</v>
      </c>
      <c r="V91" s="16">
        <f t="shared" si="34"/>
        <v>95.791588327710102</v>
      </c>
      <c r="W91" s="17"/>
    </row>
    <row r="92" spans="1:23" ht="12.75" hidden="1" customHeight="1">
      <c r="A92" s="6"/>
      <c r="B92" s="102"/>
      <c r="C92" s="107" t="s">
        <v>152</v>
      </c>
      <c r="D92" s="81"/>
      <c r="E92" s="79"/>
      <c r="F92" s="17"/>
      <c r="G92" s="17"/>
      <c r="H92" s="27"/>
      <c r="I92" s="27"/>
      <c r="J92" s="27">
        <v>36.9</v>
      </c>
      <c r="K92" s="27">
        <v>37</v>
      </c>
      <c r="L92" s="27">
        <v>12.08</v>
      </c>
      <c r="M92" s="27">
        <v>12.08</v>
      </c>
      <c r="N92" s="27"/>
      <c r="O92" s="27">
        <v>12.081</v>
      </c>
      <c r="P92" s="28">
        <v>12.08</v>
      </c>
      <c r="Q92" s="29">
        <f t="shared" si="35"/>
        <v>99.991722539524872</v>
      </c>
      <c r="R92" s="29">
        <f t="shared" si="36"/>
        <v>8.2774604751278957E-3</v>
      </c>
      <c r="S92" s="29">
        <f t="shared" si="23"/>
        <v>9.9999999999944578E-4</v>
      </c>
      <c r="T92" s="27">
        <v>12.081</v>
      </c>
      <c r="U92" s="89">
        <v>12.08</v>
      </c>
      <c r="V92" s="16">
        <f t="shared" si="34"/>
        <v>99.991722539524872</v>
      </c>
      <c r="W92" s="17"/>
    </row>
    <row r="93" spans="1:23">
      <c r="A93" s="6"/>
      <c r="B93" s="102" t="s">
        <v>153</v>
      </c>
      <c r="C93" s="82" t="s">
        <v>154</v>
      </c>
      <c r="D93" s="81" t="s">
        <v>23</v>
      </c>
      <c r="E93" s="79">
        <v>2436.8000000000002</v>
      </c>
      <c r="F93" s="17">
        <f>E93/E118</f>
        <v>3.9051282051282055E-2</v>
      </c>
      <c r="G93" s="17">
        <v>53000</v>
      </c>
      <c r="H93" s="27">
        <f t="shared" si="27"/>
        <v>2069.7179487179487</v>
      </c>
      <c r="I93" s="27">
        <f>I94+I95+I96</f>
        <v>2251.2800000000002</v>
      </c>
      <c r="J93" s="67">
        <f>J94+J95+J96</f>
        <v>2251.2800000000002</v>
      </c>
      <c r="K93" s="67">
        <f>K94+K95+K96</f>
        <v>2421</v>
      </c>
      <c r="L93" s="51">
        <f t="shared" ref="L93:P93" si="38">SUM(L94:L96)</f>
        <v>1746.7330000000002</v>
      </c>
      <c r="M93" s="51">
        <f t="shared" si="38"/>
        <v>1746.7330000000002</v>
      </c>
      <c r="N93" s="51">
        <f t="shared" si="38"/>
        <v>0</v>
      </c>
      <c r="O93" s="111">
        <f t="shared" si="38"/>
        <v>2328.6369999999997</v>
      </c>
      <c r="P93" s="111">
        <f t="shared" si="38"/>
        <v>2313.3060000000005</v>
      </c>
      <c r="Q93" s="85">
        <f>P93/O93*100</f>
        <v>99.341632036251283</v>
      </c>
      <c r="R93" s="85">
        <f>100-Q93</f>
        <v>0.65836796374871653</v>
      </c>
      <c r="S93" s="85">
        <f t="shared" si="23"/>
        <v>15.330999999999221</v>
      </c>
      <c r="T93" s="112">
        <f t="shared" ref="T93" si="39">SUM(T94:T96)</f>
        <v>2328.6369999999997</v>
      </c>
      <c r="U93" s="113">
        <f t="shared" ref="U93" si="40">SUM(U94:U96)</f>
        <v>2313.3060000000005</v>
      </c>
      <c r="V93" s="22">
        <f t="shared" si="34"/>
        <v>99.341632036251283</v>
      </c>
      <c r="W93" s="17"/>
    </row>
    <row r="94" spans="1:23" hidden="1">
      <c r="A94" s="6"/>
      <c r="B94" s="102"/>
      <c r="C94" s="107" t="s">
        <v>155</v>
      </c>
      <c r="D94" s="81"/>
      <c r="E94" s="79"/>
      <c r="F94" s="17"/>
      <c r="G94" s="17"/>
      <c r="H94" s="27"/>
      <c r="I94" s="27">
        <f>350*1.07</f>
        <v>374.5</v>
      </c>
      <c r="J94" s="27">
        <v>374.5</v>
      </c>
      <c r="K94" s="27">
        <v>375</v>
      </c>
      <c r="L94" s="27">
        <v>258.79300000000001</v>
      </c>
      <c r="M94" s="27">
        <v>258.79300000000001</v>
      </c>
      <c r="N94" s="27"/>
      <c r="O94" s="28">
        <v>345.05799999999999</v>
      </c>
      <c r="P94" s="28">
        <v>333.63400000000001</v>
      </c>
      <c r="Q94" s="29">
        <f t="shared" ref="Q94:Q115" si="41">P94/O94*100</f>
        <v>96.689252241652142</v>
      </c>
      <c r="R94" s="29">
        <f t="shared" si="36"/>
        <v>3.3107477583478584</v>
      </c>
      <c r="S94" s="29">
        <f t="shared" si="23"/>
        <v>11.423999999999978</v>
      </c>
      <c r="T94" s="27">
        <v>345.05799999999999</v>
      </c>
      <c r="U94" s="89">
        <v>333.63400000000001</v>
      </c>
      <c r="V94" s="16">
        <f t="shared" si="34"/>
        <v>96.689252241652142</v>
      </c>
      <c r="W94" s="17"/>
    </row>
    <row r="95" spans="1:23" hidden="1">
      <c r="A95" s="6"/>
      <c r="B95" s="102"/>
      <c r="C95" s="107" t="s">
        <v>156</v>
      </c>
      <c r="D95" s="81"/>
      <c r="E95" s="79"/>
      <c r="F95" s="17"/>
      <c r="G95" s="17"/>
      <c r="H95" s="27"/>
      <c r="I95" s="27">
        <f>1618*1.07</f>
        <v>1731.26</v>
      </c>
      <c r="J95" s="27">
        <v>1731.26</v>
      </c>
      <c r="K95" s="27">
        <v>1900</v>
      </c>
      <c r="L95" s="27">
        <f>1386.963+0.53</f>
        <v>1387.4929999999999</v>
      </c>
      <c r="M95" s="27">
        <f>1386.963+0.53</f>
        <v>1387.4929999999999</v>
      </c>
      <c r="N95" s="27"/>
      <c r="O95" s="28">
        <v>1849.2829999999999</v>
      </c>
      <c r="P95" s="28">
        <v>1845.3810000000001</v>
      </c>
      <c r="Q95" s="29">
        <f t="shared" si="41"/>
        <v>99.788999304054599</v>
      </c>
      <c r="R95" s="29">
        <f t="shared" si="36"/>
        <v>0.21100069594540116</v>
      </c>
      <c r="S95" s="29">
        <f t="shared" si="23"/>
        <v>3.9019999999998163</v>
      </c>
      <c r="T95" s="27">
        <v>1849.2829999999999</v>
      </c>
      <c r="U95" s="89">
        <v>1845.3810000000001</v>
      </c>
      <c r="V95" s="16">
        <f t="shared" si="34"/>
        <v>99.788999304054599</v>
      </c>
      <c r="W95" s="17"/>
    </row>
    <row r="96" spans="1:23" hidden="1">
      <c r="A96" s="6"/>
      <c r="B96" s="102"/>
      <c r="C96" s="107" t="s">
        <v>157</v>
      </c>
      <c r="D96" s="81"/>
      <c r="E96" s="79"/>
      <c r="F96" s="17"/>
      <c r="G96" s="17"/>
      <c r="H96" s="27"/>
      <c r="I96" s="27">
        <f>136*1.07</f>
        <v>145.52000000000001</v>
      </c>
      <c r="J96" s="27">
        <v>145.52000000000001</v>
      </c>
      <c r="K96" s="27">
        <v>146</v>
      </c>
      <c r="L96" s="27">
        <v>100.447</v>
      </c>
      <c r="M96" s="27">
        <v>100.447</v>
      </c>
      <c r="N96" s="27"/>
      <c r="O96" s="28">
        <v>134.29599999999999</v>
      </c>
      <c r="P96" s="28">
        <v>134.291</v>
      </c>
      <c r="Q96" s="29">
        <f t="shared" si="41"/>
        <v>99.996276880919766</v>
      </c>
      <c r="R96" s="29">
        <f t="shared" si="36"/>
        <v>3.7231190802344827E-3</v>
      </c>
      <c r="S96" s="29">
        <f t="shared" si="23"/>
        <v>4.9999999999954525E-3</v>
      </c>
      <c r="T96" s="27">
        <v>134.29599999999999</v>
      </c>
      <c r="U96" s="89">
        <v>134.291</v>
      </c>
      <c r="V96" s="16">
        <f t="shared" si="34"/>
        <v>99.996276880919766</v>
      </c>
      <c r="W96" s="17"/>
    </row>
    <row r="97" spans="1:23" ht="52.5" customHeight="1">
      <c r="A97" s="6"/>
      <c r="B97" s="102" t="s">
        <v>158</v>
      </c>
      <c r="C97" s="31" t="s">
        <v>159</v>
      </c>
      <c r="D97" s="64" t="s">
        <v>23</v>
      </c>
      <c r="E97" s="79">
        <v>73.3</v>
      </c>
      <c r="F97" s="33">
        <f>E97/E118</f>
        <v>1.1746794871794872E-3</v>
      </c>
      <c r="G97" s="33">
        <v>53000</v>
      </c>
      <c r="H97" s="34">
        <f t="shared" si="27"/>
        <v>62.258012820512818</v>
      </c>
      <c r="I97" s="34">
        <v>61</v>
      </c>
      <c r="J97" s="65">
        <v>61</v>
      </c>
      <c r="K97" s="34">
        <v>113</v>
      </c>
      <c r="L97" s="34">
        <v>56.563000000000002</v>
      </c>
      <c r="M97" s="34">
        <v>56.563000000000002</v>
      </c>
      <c r="N97" s="34"/>
      <c r="O97" s="103">
        <v>113</v>
      </c>
      <c r="P97" s="103">
        <v>82.605999999999995</v>
      </c>
      <c r="Q97" s="22">
        <f t="shared" si="41"/>
        <v>73.102654867256632</v>
      </c>
      <c r="R97" s="22">
        <f t="shared" si="36"/>
        <v>26.897345132743368</v>
      </c>
      <c r="S97" s="22">
        <f t="shared" si="23"/>
        <v>30.394000000000005</v>
      </c>
      <c r="T97" s="55">
        <v>113</v>
      </c>
      <c r="U97" s="104">
        <v>82.605999999999995</v>
      </c>
      <c r="V97" s="22">
        <f t="shared" si="34"/>
        <v>73.102654867256632</v>
      </c>
      <c r="W97" s="58" t="s">
        <v>160</v>
      </c>
    </row>
    <row r="98" spans="1:23" ht="24.75" customHeight="1">
      <c r="A98" s="6"/>
      <c r="B98" s="102" t="s">
        <v>161</v>
      </c>
      <c r="C98" s="31" t="s">
        <v>162</v>
      </c>
      <c r="D98" s="64" t="s">
        <v>23</v>
      </c>
      <c r="E98" s="79">
        <v>415.82</v>
      </c>
      <c r="F98" s="33">
        <f>E98/E118</f>
        <v>6.6637820512820516E-3</v>
      </c>
      <c r="G98" s="33">
        <v>53000</v>
      </c>
      <c r="H98" s="34">
        <f t="shared" si="27"/>
        <v>353.18044871794871</v>
      </c>
      <c r="I98" s="34">
        <f>I99+I100+I107+I101+I102+I103+I104+I106+I105</f>
        <v>575</v>
      </c>
      <c r="J98" s="65">
        <f>J99+J100+J107+J101+J102+J103+J104+J106+J105</f>
        <v>1871.81</v>
      </c>
      <c r="K98" s="65">
        <f>K99+K100+K107+K101+K102+K103+K104+K106+K105+K108+K113</f>
        <v>1494</v>
      </c>
      <c r="L98" s="56">
        <f>SUM(L99:L113)</f>
        <v>1480.4860000000001</v>
      </c>
      <c r="M98" s="56">
        <f>SUM(M99:M113)</f>
        <v>1055.7339999999999</v>
      </c>
      <c r="N98" s="56">
        <f t="shared" ref="N98:O98" si="42">SUM(N99:N113)</f>
        <v>0</v>
      </c>
      <c r="O98" s="56">
        <f t="shared" si="42"/>
        <v>1490.4860000000001</v>
      </c>
      <c r="P98" s="56">
        <f>SUM(P99:P114)</f>
        <v>1510.6499999999999</v>
      </c>
      <c r="Q98" s="22">
        <f t="shared" si="41"/>
        <v>101.35284732630832</v>
      </c>
      <c r="R98" s="22">
        <f t="shared" si="36"/>
        <v>-1.3528473263083214</v>
      </c>
      <c r="S98" s="22">
        <f t="shared" si="23"/>
        <v>-20.16399999999976</v>
      </c>
      <c r="T98" s="56">
        <f t="shared" ref="T98" si="43">SUM(T99:T113)</f>
        <v>1490.4860000000001</v>
      </c>
      <c r="U98" s="86">
        <f>SUM(U99:U114)</f>
        <v>1510.6499999999999</v>
      </c>
      <c r="V98" s="22">
        <f t="shared" si="34"/>
        <v>101.35284732630832</v>
      </c>
      <c r="W98" s="17"/>
    </row>
    <row r="99" spans="1:23" hidden="1">
      <c r="A99" s="6"/>
      <c r="B99" s="100"/>
      <c r="C99" s="114" t="s">
        <v>163</v>
      </c>
      <c r="D99" s="81"/>
      <c r="E99" s="79"/>
      <c r="F99" s="17"/>
      <c r="G99" s="17"/>
      <c r="H99" s="27"/>
      <c r="I99" s="27">
        <v>270</v>
      </c>
      <c r="J99" s="27">
        <f>164.06+55.94</f>
        <v>220</v>
      </c>
      <c r="K99" s="27">
        <v>220</v>
      </c>
      <c r="L99" s="27">
        <v>333.90800000000002</v>
      </c>
      <c r="M99" s="27">
        <f>2.225+231.333+9.269</f>
        <v>242.827</v>
      </c>
      <c r="N99" s="27"/>
      <c r="O99" s="27">
        <v>333.90800000000002</v>
      </c>
      <c r="P99" s="28">
        <v>342.27199999999999</v>
      </c>
      <c r="Q99" s="29">
        <f t="shared" si="41"/>
        <v>102.50488158414892</v>
      </c>
      <c r="R99" s="29">
        <f t="shared" si="36"/>
        <v>-2.5048815841489187</v>
      </c>
      <c r="S99" s="29">
        <f t="shared" si="23"/>
        <v>-8.3639999999999759</v>
      </c>
      <c r="T99" s="27">
        <v>333.90800000000002</v>
      </c>
      <c r="U99" s="89">
        <v>342.27199999999999</v>
      </c>
      <c r="V99" s="16">
        <f t="shared" si="34"/>
        <v>102.50488158414892</v>
      </c>
      <c r="W99" s="17"/>
    </row>
    <row r="100" spans="1:23" hidden="1">
      <c r="A100" s="6"/>
      <c r="B100" s="100"/>
      <c r="C100" s="114" t="s">
        <v>164</v>
      </c>
      <c r="D100" s="81"/>
      <c r="E100" s="79"/>
      <c r="F100" s="17"/>
      <c r="G100" s="17"/>
      <c r="H100" s="27"/>
      <c r="I100" s="27">
        <v>11</v>
      </c>
      <c r="J100" s="27">
        <v>11</v>
      </c>
      <c r="K100" s="27">
        <v>7</v>
      </c>
      <c r="L100" s="27">
        <v>7</v>
      </c>
      <c r="M100" s="27">
        <v>4.2</v>
      </c>
      <c r="N100" s="27"/>
      <c r="O100" s="27">
        <v>7</v>
      </c>
      <c r="P100" s="28">
        <v>7</v>
      </c>
      <c r="Q100" s="29">
        <f t="shared" si="41"/>
        <v>100</v>
      </c>
      <c r="R100" s="29">
        <f t="shared" si="36"/>
        <v>0</v>
      </c>
      <c r="S100" s="29">
        <f t="shared" si="23"/>
        <v>0</v>
      </c>
      <c r="T100" s="27">
        <v>7</v>
      </c>
      <c r="U100" s="89">
        <v>7</v>
      </c>
      <c r="V100" s="16">
        <f t="shared" si="34"/>
        <v>100</v>
      </c>
      <c r="W100" s="17"/>
    </row>
    <row r="101" spans="1:23" hidden="1">
      <c r="A101" s="6"/>
      <c r="B101" s="100"/>
      <c r="C101" s="115" t="s">
        <v>165</v>
      </c>
      <c r="D101" s="81"/>
      <c r="E101" s="79"/>
      <c r="F101" s="17"/>
      <c r="G101" s="17"/>
      <c r="H101" s="27"/>
      <c r="I101" s="27">
        <v>50</v>
      </c>
      <c r="J101" s="27">
        <v>50</v>
      </c>
      <c r="K101" s="27">
        <v>50</v>
      </c>
      <c r="L101" s="27">
        <v>237.5</v>
      </c>
      <c r="M101" s="27"/>
      <c r="N101" s="27"/>
      <c r="O101" s="27">
        <v>237.5</v>
      </c>
      <c r="P101" s="28">
        <v>227.5</v>
      </c>
      <c r="Q101" s="29">
        <f t="shared" si="41"/>
        <v>95.78947368421052</v>
      </c>
      <c r="R101" s="29">
        <f t="shared" si="36"/>
        <v>4.2105263157894797</v>
      </c>
      <c r="S101" s="29">
        <f t="shared" si="23"/>
        <v>10</v>
      </c>
      <c r="T101" s="27">
        <v>237.5</v>
      </c>
      <c r="U101" s="89">
        <v>227.5</v>
      </c>
      <c r="V101" s="16">
        <f t="shared" si="34"/>
        <v>95.78947368421052</v>
      </c>
      <c r="W101" s="17"/>
    </row>
    <row r="102" spans="1:23" hidden="1">
      <c r="A102" s="6"/>
      <c r="B102" s="100"/>
      <c r="C102" s="115" t="s">
        <v>166</v>
      </c>
      <c r="D102" s="81"/>
      <c r="E102" s="79"/>
      <c r="F102" s="17"/>
      <c r="G102" s="17"/>
      <c r="H102" s="27"/>
      <c r="I102" s="27">
        <v>60</v>
      </c>
      <c r="J102" s="27">
        <v>60</v>
      </c>
      <c r="K102" s="27">
        <v>70</v>
      </c>
      <c r="L102" s="27">
        <v>60</v>
      </c>
      <c r="M102" s="27">
        <v>60</v>
      </c>
      <c r="N102" s="27"/>
      <c r="O102" s="27">
        <v>70</v>
      </c>
      <c r="P102" s="28">
        <v>70</v>
      </c>
      <c r="Q102" s="29">
        <f t="shared" si="41"/>
        <v>100</v>
      </c>
      <c r="R102" s="29">
        <f t="shared" si="36"/>
        <v>0</v>
      </c>
      <c r="S102" s="29">
        <f t="shared" si="23"/>
        <v>0</v>
      </c>
      <c r="T102" s="27">
        <v>70</v>
      </c>
      <c r="U102" s="89">
        <v>70</v>
      </c>
      <c r="V102" s="16">
        <f t="shared" si="34"/>
        <v>100</v>
      </c>
      <c r="W102" s="17"/>
    </row>
    <row r="103" spans="1:23" hidden="1">
      <c r="A103" s="6"/>
      <c r="B103" s="100"/>
      <c r="C103" s="115" t="s">
        <v>167</v>
      </c>
      <c r="D103" s="81"/>
      <c r="E103" s="79"/>
      <c r="F103" s="17"/>
      <c r="G103" s="17"/>
      <c r="H103" s="27"/>
      <c r="I103" s="27">
        <v>14</v>
      </c>
      <c r="J103" s="27">
        <v>14</v>
      </c>
      <c r="K103" s="27">
        <v>14</v>
      </c>
      <c r="L103" s="27">
        <f>14+40.147</f>
        <v>54.146999999999998</v>
      </c>
      <c r="M103" s="27">
        <f>11.147+40.147</f>
        <v>51.293999999999997</v>
      </c>
      <c r="N103" s="27"/>
      <c r="O103" s="27">
        <f>14+40.147</f>
        <v>54.146999999999998</v>
      </c>
      <c r="P103" s="28">
        <v>54.798999999999999</v>
      </c>
      <c r="Q103" s="29">
        <f t="shared" si="41"/>
        <v>101.20412949932592</v>
      </c>
      <c r="R103" s="29">
        <f t="shared" si="36"/>
        <v>-1.2041294993259157</v>
      </c>
      <c r="S103" s="29">
        <f t="shared" si="23"/>
        <v>-0.65200000000000102</v>
      </c>
      <c r="T103" s="27">
        <f>14+40.147</f>
        <v>54.146999999999998</v>
      </c>
      <c r="U103" s="89">
        <v>54.798999999999999</v>
      </c>
      <c r="V103" s="16">
        <f t="shared" si="34"/>
        <v>101.20412949932592</v>
      </c>
      <c r="W103" s="17"/>
    </row>
    <row r="104" spans="1:23" hidden="1">
      <c r="A104" s="6"/>
      <c r="B104" s="100"/>
      <c r="C104" s="116" t="s">
        <v>168</v>
      </c>
      <c r="D104" s="81"/>
      <c r="E104" s="79"/>
      <c r="F104" s="17"/>
      <c r="G104" s="17"/>
      <c r="H104" s="27"/>
      <c r="I104" s="27">
        <v>25</v>
      </c>
      <c r="J104" s="27">
        <v>25</v>
      </c>
      <c r="K104" s="27">
        <v>25</v>
      </c>
      <c r="L104" s="27">
        <f>21.321+13.681</f>
        <v>35.002000000000002</v>
      </c>
      <c r="M104" s="27">
        <v>29.513999999999999</v>
      </c>
      <c r="N104" s="27"/>
      <c r="O104" s="27">
        <f>21.321+13.681</f>
        <v>35.002000000000002</v>
      </c>
      <c r="P104" s="28">
        <v>35.024999999999999</v>
      </c>
      <c r="Q104" s="29">
        <f t="shared" si="41"/>
        <v>100.06571053082681</v>
      </c>
      <c r="R104" s="29">
        <f t="shared" si="36"/>
        <v>-6.571053082680578E-2</v>
      </c>
      <c r="S104" s="29">
        <f t="shared" si="23"/>
        <v>-2.2999999999996135E-2</v>
      </c>
      <c r="T104" s="27">
        <f>21.321+13.681</f>
        <v>35.002000000000002</v>
      </c>
      <c r="U104" s="89">
        <v>35.024999999999999</v>
      </c>
      <c r="V104" s="16">
        <f t="shared" si="34"/>
        <v>100.06571053082681</v>
      </c>
      <c r="W104" s="17"/>
    </row>
    <row r="105" spans="1:23" hidden="1">
      <c r="A105" s="6"/>
      <c r="B105" s="100"/>
      <c r="C105" s="117" t="s">
        <v>169</v>
      </c>
      <c r="D105" s="81"/>
      <c r="E105" s="79"/>
      <c r="F105" s="17"/>
      <c r="G105" s="17"/>
      <c r="H105" s="27"/>
      <c r="I105" s="27">
        <v>90</v>
      </c>
      <c r="J105" s="27">
        <v>90</v>
      </c>
      <c r="K105" s="27">
        <v>90</v>
      </c>
      <c r="L105" s="27">
        <v>90</v>
      </c>
      <c r="M105" s="27"/>
      <c r="N105" s="27"/>
      <c r="O105" s="27">
        <v>90</v>
      </c>
      <c r="P105" s="28">
        <v>90</v>
      </c>
      <c r="Q105" s="29">
        <f t="shared" si="41"/>
        <v>100</v>
      </c>
      <c r="R105" s="29">
        <f t="shared" si="36"/>
        <v>0</v>
      </c>
      <c r="S105" s="29">
        <f t="shared" si="23"/>
        <v>0</v>
      </c>
      <c r="T105" s="27">
        <v>90</v>
      </c>
      <c r="U105" s="89">
        <v>90</v>
      </c>
      <c r="V105" s="16">
        <f t="shared" si="34"/>
        <v>100</v>
      </c>
      <c r="W105" s="17"/>
    </row>
    <row r="106" spans="1:23" hidden="1">
      <c r="A106" s="6"/>
      <c r="B106" s="100"/>
      <c r="C106" s="118" t="s">
        <v>133</v>
      </c>
      <c r="D106" s="119"/>
      <c r="E106" s="120"/>
      <c r="F106" s="121"/>
      <c r="G106" s="121"/>
      <c r="H106" s="122"/>
      <c r="I106" s="122">
        <v>50</v>
      </c>
      <c r="J106" s="122">
        <v>824.61</v>
      </c>
      <c r="K106" s="122">
        <v>200</v>
      </c>
      <c r="L106" s="122">
        <v>70</v>
      </c>
      <c r="M106" s="122"/>
      <c r="N106" s="122"/>
      <c r="O106" s="89">
        <v>70</v>
      </c>
      <c r="P106" s="28">
        <v>70</v>
      </c>
      <c r="Q106" s="29">
        <f t="shared" si="41"/>
        <v>100</v>
      </c>
      <c r="R106" s="29">
        <f t="shared" si="36"/>
        <v>0</v>
      </c>
      <c r="S106" s="29">
        <f t="shared" si="23"/>
        <v>0</v>
      </c>
      <c r="T106" s="89">
        <v>70</v>
      </c>
      <c r="U106" s="89">
        <v>70</v>
      </c>
      <c r="V106" s="16">
        <f t="shared" si="34"/>
        <v>100</v>
      </c>
      <c r="W106" s="17"/>
    </row>
    <row r="107" spans="1:23" hidden="1">
      <c r="A107" s="6"/>
      <c r="B107" s="100"/>
      <c r="C107" s="116" t="s">
        <v>170</v>
      </c>
      <c r="D107" s="81"/>
      <c r="E107" s="79"/>
      <c r="F107" s="17"/>
      <c r="G107" s="17"/>
      <c r="H107" s="27"/>
      <c r="I107" s="27">
        <v>5</v>
      </c>
      <c r="J107" s="27">
        <f>240*2.405</f>
        <v>577.19999999999993</v>
      </c>
      <c r="K107" s="27">
        <v>418</v>
      </c>
      <c r="L107" s="27">
        <v>417.59399999999999</v>
      </c>
      <c r="M107" s="27">
        <v>417.56400000000002</v>
      </c>
      <c r="N107" s="27"/>
      <c r="O107" s="89">
        <v>417.59399999999999</v>
      </c>
      <c r="P107" s="28">
        <v>417.584</v>
      </c>
      <c r="Q107" s="29">
        <f t="shared" si="41"/>
        <v>99.997605329578491</v>
      </c>
      <c r="R107" s="29">
        <f t="shared" si="36"/>
        <v>2.3946704215092041E-3</v>
      </c>
      <c r="S107" s="29">
        <f t="shared" si="23"/>
        <v>9.9999999999909051E-3</v>
      </c>
      <c r="T107" s="89">
        <v>417.59399999999999</v>
      </c>
      <c r="U107" s="89">
        <v>417.584</v>
      </c>
      <c r="V107" s="16">
        <f t="shared" si="34"/>
        <v>99.997605329578491</v>
      </c>
      <c r="W107" s="17"/>
    </row>
    <row r="108" spans="1:23" hidden="1">
      <c r="A108" s="6"/>
      <c r="B108" s="100"/>
      <c r="C108" s="117" t="s">
        <v>171</v>
      </c>
      <c r="D108" s="81"/>
      <c r="E108" s="79"/>
      <c r="F108" s="17"/>
      <c r="G108" s="123"/>
      <c r="H108" s="27"/>
      <c r="I108" s="27"/>
      <c r="J108" s="27"/>
      <c r="K108" s="27">
        <v>250</v>
      </c>
      <c r="L108" s="27"/>
      <c r="M108" s="27"/>
      <c r="N108" s="27"/>
      <c r="O108" s="27"/>
      <c r="P108" s="28"/>
      <c r="Q108" s="29" t="e">
        <f t="shared" si="41"/>
        <v>#DIV/0!</v>
      </c>
      <c r="R108" s="29" t="e">
        <f t="shared" si="36"/>
        <v>#DIV/0!</v>
      </c>
      <c r="S108" s="29">
        <f t="shared" si="23"/>
        <v>0</v>
      </c>
      <c r="T108" s="27"/>
      <c r="U108" s="89"/>
      <c r="V108" s="16" t="e">
        <f t="shared" si="34"/>
        <v>#DIV/0!</v>
      </c>
      <c r="W108" s="17"/>
    </row>
    <row r="109" spans="1:23" hidden="1">
      <c r="A109" s="6"/>
      <c r="B109" s="100"/>
      <c r="C109" s="117" t="s">
        <v>172</v>
      </c>
      <c r="D109" s="81"/>
      <c r="E109" s="79"/>
      <c r="F109" s="17"/>
      <c r="G109" s="123"/>
      <c r="H109" s="27"/>
      <c r="I109" s="27"/>
      <c r="J109" s="27"/>
      <c r="K109" s="27"/>
      <c r="L109" s="27">
        <v>147.94800000000001</v>
      </c>
      <c r="M109" s="27">
        <v>147.94800000000001</v>
      </c>
      <c r="N109" s="27"/>
      <c r="O109" s="27">
        <v>147.94800000000001</v>
      </c>
      <c r="P109" s="28">
        <v>147.94800000000001</v>
      </c>
      <c r="Q109" s="29">
        <f t="shared" si="41"/>
        <v>100</v>
      </c>
      <c r="R109" s="29">
        <f t="shared" si="36"/>
        <v>0</v>
      </c>
      <c r="S109" s="29">
        <f t="shared" si="23"/>
        <v>0</v>
      </c>
      <c r="T109" s="27">
        <v>147.94800000000001</v>
      </c>
      <c r="U109" s="89">
        <v>147.94800000000001</v>
      </c>
      <c r="V109" s="16">
        <f t="shared" si="34"/>
        <v>100</v>
      </c>
      <c r="W109" s="17"/>
    </row>
    <row r="110" spans="1:23" hidden="1">
      <c r="A110" s="6"/>
      <c r="B110" s="100"/>
      <c r="C110" s="117" t="s">
        <v>173</v>
      </c>
      <c r="D110" s="81"/>
      <c r="E110" s="79"/>
      <c r="F110" s="17"/>
      <c r="G110" s="123"/>
      <c r="H110" s="27"/>
      <c r="I110" s="27"/>
      <c r="J110" s="27"/>
      <c r="K110" s="27"/>
      <c r="L110" s="27"/>
      <c r="M110" s="27">
        <v>75</v>
      </c>
      <c r="N110" s="27"/>
      <c r="O110" s="27"/>
      <c r="P110" s="28"/>
      <c r="Q110" s="29" t="e">
        <f t="shared" si="41"/>
        <v>#DIV/0!</v>
      </c>
      <c r="R110" s="29" t="e">
        <f t="shared" si="36"/>
        <v>#DIV/0!</v>
      </c>
      <c r="S110" s="29">
        <f t="shared" si="23"/>
        <v>0</v>
      </c>
      <c r="T110" s="27"/>
      <c r="U110" s="89"/>
      <c r="V110" s="16" t="e">
        <f t="shared" si="34"/>
        <v>#DIV/0!</v>
      </c>
      <c r="W110" s="17"/>
    </row>
    <row r="111" spans="1:23" hidden="1">
      <c r="A111" s="6"/>
      <c r="B111" s="100"/>
      <c r="C111" s="117" t="s">
        <v>174</v>
      </c>
      <c r="D111" s="81"/>
      <c r="E111" s="79"/>
      <c r="F111" s="17"/>
      <c r="G111" s="123"/>
      <c r="H111" s="27"/>
      <c r="I111" s="27"/>
      <c r="J111" s="27"/>
      <c r="K111" s="27"/>
      <c r="L111" s="27">
        <v>10.452999999999999</v>
      </c>
      <c r="M111" s="27">
        <v>10.452999999999999</v>
      </c>
      <c r="N111" s="27"/>
      <c r="O111" s="27">
        <v>10.452999999999999</v>
      </c>
      <c r="P111" s="28">
        <f>0.601+27.306</f>
        <v>27.907</v>
      </c>
      <c r="Q111" s="29">
        <f t="shared" si="41"/>
        <v>266.97598775471158</v>
      </c>
      <c r="R111" s="29">
        <f t="shared" si="36"/>
        <v>-166.97598775471158</v>
      </c>
      <c r="S111" s="29">
        <f t="shared" si="23"/>
        <v>-17.454000000000001</v>
      </c>
      <c r="T111" s="27">
        <v>10.452999999999999</v>
      </c>
      <c r="U111" s="89">
        <f>0.601+27.306</f>
        <v>27.907</v>
      </c>
      <c r="V111" s="16">
        <f t="shared" si="34"/>
        <v>266.97598775471158</v>
      </c>
      <c r="W111" s="17"/>
    </row>
    <row r="112" spans="1:23" hidden="1">
      <c r="A112" s="6"/>
      <c r="B112" s="100"/>
      <c r="C112" s="117" t="s">
        <v>175</v>
      </c>
      <c r="D112" s="81"/>
      <c r="E112" s="79"/>
      <c r="F112" s="17"/>
      <c r="G112" s="123"/>
      <c r="H112" s="27"/>
      <c r="I112" s="27"/>
      <c r="J112" s="27"/>
      <c r="K112" s="27"/>
      <c r="L112" s="27">
        <v>16.934000000000001</v>
      </c>
      <c r="M112" s="27">
        <v>16.934000000000001</v>
      </c>
      <c r="N112" s="27"/>
      <c r="O112" s="27">
        <v>16.934000000000001</v>
      </c>
      <c r="P112" s="28">
        <v>20.614999999999998</v>
      </c>
      <c r="Q112" s="29">
        <f t="shared" si="41"/>
        <v>121.73733317585919</v>
      </c>
      <c r="R112" s="29">
        <f t="shared" si="36"/>
        <v>-21.737333175859192</v>
      </c>
      <c r="S112" s="29">
        <f t="shared" si="23"/>
        <v>-3.6809999999999974</v>
      </c>
      <c r="T112" s="27">
        <v>16.934000000000001</v>
      </c>
      <c r="U112" s="89">
        <v>20.614999999999998</v>
      </c>
      <c r="V112" s="16">
        <f t="shared" si="34"/>
        <v>121.73733317585919</v>
      </c>
      <c r="W112" s="17"/>
    </row>
    <row r="113" spans="1:23" hidden="1">
      <c r="A113" s="6"/>
      <c r="B113" s="100"/>
      <c r="C113" s="117" t="s">
        <v>176</v>
      </c>
      <c r="D113" s="81"/>
      <c r="E113" s="79"/>
      <c r="F113" s="17"/>
      <c r="G113" s="123"/>
      <c r="H113" s="27"/>
      <c r="I113" s="27"/>
      <c r="J113" s="27"/>
      <c r="K113" s="27">
        <v>150</v>
      </c>
      <c r="L113" s="27"/>
      <c r="M113" s="27"/>
      <c r="N113" s="27"/>
      <c r="O113" s="27"/>
      <c r="P113" s="28"/>
      <c r="Q113" s="29" t="e">
        <f t="shared" si="41"/>
        <v>#DIV/0!</v>
      </c>
      <c r="R113" s="29" t="e">
        <f t="shared" si="36"/>
        <v>#DIV/0!</v>
      </c>
      <c r="S113" s="29">
        <f t="shared" si="23"/>
        <v>0</v>
      </c>
      <c r="T113" s="27"/>
      <c r="U113" s="27"/>
      <c r="V113" s="16" t="e">
        <f t="shared" si="34"/>
        <v>#DIV/0!</v>
      </c>
      <c r="W113" s="17"/>
    </row>
    <row r="114" spans="1:23" hidden="1">
      <c r="A114" s="6"/>
      <c r="B114" s="100"/>
      <c r="C114" s="117" t="s">
        <v>177</v>
      </c>
      <c r="D114" s="81"/>
      <c r="E114" s="79"/>
      <c r="F114" s="17"/>
      <c r="G114" s="123"/>
      <c r="H114" s="27"/>
      <c r="I114" s="27"/>
      <c r="J114" s="27"/>
      <c r="K114" s="27"/>
      <c r="L114" s="27"/>
      <c r="M114" s="27"/>
      <c r="N114" s="27"/>
      <c r="O114" s="27"/>
      <c r="P114" s="28"/>
      <c r="Q114" s="29" t="e">
        <f t="shared" si="41"/>
        <v>#DIV/0!</v>
      </c>
      <c r="R114" s="29" t="e">
        <f t="shared" si="36"/>
        <v>#DIV/0!</v>
      </c>
      <c r="S114" s="29">
        <f t="shared" si="23"/>
        <v>0</v>
      </c>
      <c r="T114" s="27"/>
      <c r="U114" s="27"/>
      <c r="V114" s="16" t="e">
        <f t="shared" si="34"/>
        <v>#DIV/0!</v>
      </c>
      <c r="W114" s="17"/>
    </row>
    <row r="115" spans="1:23" ht="18.75" customHeight="1">
      <c r="A115" s="6"/>
      <c r="B115" s="124" t="s">
        <v>178</v>
      </c>
      <c r="C115" s="125" t="s">
        <v>179</v>
      </c>
      <c r="D115" s="100" t="s">
        <v>21</v>
      </c>
      <c r="E115" s="126">
        <f>E63+E13</f>
        <v>83522.800000000017</v>
      </c>
      <c r="F115" s="127">
        <f>F63+F13</f>
        <v>1.4385041666666667</v>
      </c>
      <c r="G115" s="128"/>
      <c r="H115" s="51">
        <f t="shared" ref="H115:M115" si="44">H63+H13</f>
        <v>70940.820833333317</v>
      </c>
      <c r="I115" s="127">
        <f t="shared" si="44"/>
        <v>64951.629000000001</v>
      </c>
      <c r="J115" s="51">
        <f t="shared" si="44"/>
        <v>61241.427000000003</v>
      </c>
      <c r="K115" s="51">
        <f t="shared" si="44"/>
        <v>62329.995000000003</v>
      </c>
      <c r="L115" s="51">
        <f t="shared" si="44"/>
        <v>52994.69200000001</v>
      </c>
      <c r="M115" s="51">
        <f t="shared" si="44"/>
        <v>44480.233999999997</v>
      </c>
      <c r="N115" s="51"/>
      <c r="O115" s="51">
        <f>O63+O13</f>
        <v>66221.106</v>
      </c>
      <c r="P115" s="51">
        <f>P63+P13</f>
        <v>75544.695999999996</v>
      </c>
      <c r="Q115" s="85">
        <f t="shared" si="41"/>
        <v>114.07948396391929</v>
      </c>
      <c r="R115" s="85">
        <f t="shared" si="36"/>
        <v>-14.079483963919287</v>
      </c>
      <c r="S115" s="85">
        <f t="shared" si="23"/>
        <v>-9323.5899999999965</v>
      </c>
      <c r="T115" s="56">
        <f>T63+T13</f>
        <v>66221.106</v>
      </c>
      <c r="U115" s="56">
        <f>U63+U13</f>
        <v>75646.879000000001</v>
      </c>
      <c r="V115" s="22">
        <f t="shared" si="34"/>
        <v>114.23378975277157</v>
      </c>
      <c r="W115" s="17"/>
    </row>
    <row r="116" spans="1:23" ht="19.5" customHeight="1">
      <c r="A116" s="6"/>
      <c r="B116" s="124" t="s">
        <v>180</v>
      </c>
      <c r="C116" s="92" t="s">
        <v>181</v>
      </c>
      <c r="D116" s="100" t="s">
        <v>21</v>
      </c>
      <c r="E116" s="19">
        <v>227.8</v>
      </c>
      <c r="H116" s="27"/>
      <c r="I116" s="27">
        <f>I117-I115</f>
        <v>413.37099999999919</v>
      </c>
      <c r="J116" s="27">
        <f>J117-J115</f>
        <v>787.57299999999668</v>
      </c>
      <c r="K116" s="67">
        <f>K117-K115</f>
        <v>4.9999999973806553E-3</v>
      </c>
      <c r="L116" s="67">
        <f>L117-L115</f>
        <v>2035.7599999999875</v>
      </c>
      <c r="M116" s="67">
        <f>M117-M115</f>
        <v>10550.218000000001</v>
      </c>
      <c r="N116" s="67"/>
      <c r="O116" s="67">
        <f t="shared" ref="O116" si="45">O117-O115</f>
        <v>749.99599999999919</v>
      </c>
      <c r="P116" s="28">
        <f>P117-P115</f>
        <v>-7831.0239999999903</v>
      </c>
      <c r="Q116" s="29"/>
      <c r="R116" s="29"/>
      <c r="S116" s="29"/>
      <c r="T116" s="65">
        <f t="shared" ref="T116" si="46">T117-T115</f>
        <v>749.99599999999919</v>
      </c>
      <c r="U116" s="34">
        <f>U117-U115</f>
        <v>-7933.2069999999949</v>
      </c>
      <c r="V116" s="16"/>
      <c r="W116" s="17"/>
    </row>
    <row r="117" spans="1:23" ht="25.5">
      <c r="A117" s="6"/>
      <c r="B117" s="124" t="s">
        <v>182</v>
      </c>
      <c r="C117" s="92" t="s">
        <v>183</v>
      </c>
      <c r="D117" s="100" t="s">
        <v>21</v>
      </c>
      <c r="E117" s="19">
        <f>E115+E116</f>
        <v>83750.60000000002</v>
      </c>
      <c r="F117" s="129"/>
      <c r="H117" s="27">
        <f>E117/E118*G118</f>
        <v>71134.323717948733</v>
      </c>
      <c r="I117" s="27">
        <v>65365</v>
      </c>
      <c r="J117" s="27">
        <v>62029</v>
      </c>
      <c r="K117" s="14">
        <v>62330</v>
      </c>
      <c r="L117" s="130">
        <v>55030.451999999997</v>
      </c>
      <c r="M117" s="130">
        <v>55030.451999999997</v>
      </c>
      <c r="N117" s="130"/>
      <c r="O117" s="67">
        <v>66971.101999999999</v>
      </c>
      <c r="P117" s="28">
        <v>67713.672000000006</v>
      </c>
      <c r="Q117" s="29">
        <f t="shared" ref="Q117:Q118" si="47">P117/O117*100</f>
        <v>101.10879166957713</v>
      </c>
      <c r="R117" s="29">
        <f t="shared" ref="R117:R118" si="48">100-Q117</f>
        <v>-1.1087916695771298</v>
      </c>
      <c r="S117" s="29">
        <f t="shared" ref="S117:S118" si="49">O117-P117</f>
        <v>-742.57000000000698</v>
      </c>
      <c r="T117" s="65">
        <v>66971.101999999999</v>
      </c>
      <c r="U117" s="34">
        <v>67713.672000000006</v>
      </c>
      <c r="V117" s="16">
        <f t="shared" ref="V117:V118" si="50">U117/T117*100</f>
        <v>101.10879166957713</v>
      </c>
      <c r="W117" s="58" t="s">
        <v>184</v>
      </c>
    </row>
    <row r="118" spans="1:23" ht="25.5">
      <c r="A118" s="6"/>
      <c r="B118" s="124" t="s">
        <v>185</v>
      </c>
      <c r="C118" s="92" t="s">
        <v>186</v>
      </c>
      <c r="D118" s="100" t="s">
        <v>187</v>
      </c>
      <c r="E118" s="37">
        <v>62400</v>
      </c>
      <c r="G118" s="1">
        <v>53000</v>
      </c>
      <c r="H118" s="27"/>
      <c r="I118" s="45">
        <v>53000</v>
      </c>
      <c r="J118" s="45">
        <v>50300</v>
      </c>
      <c r="K118" s="14">
        <v>51000</v>
      </c>
      <c r="L118" s="14">
        <v>45697.711000000003</v>
      </c>
      <c r="M118" s="14">
        <v>45697.711000000003</v>
      </c>
      <c r="N118" s="14"/>
      <c r="O118" s="67">
        <v>54812.711000000003</v>
      </c>
      <c r="P118" s="28">
        <v>55379.4</v>
      </c>
      <c r="Q118" s="29">
        <f t="shared" si="47"/>
        <v>101.03386420715444</v>
      </c>
      <c r="R118" s="29">
        <f t="shared" si="48"/>
        <v>-1.0338642071544371</v>
      </c>
      <c r="S118" s="29">
        <f t="shared" si="49"/>
        <v>-566.68899999999849</v>
      </c>
      <c r="T118" s="65">
        <v>54812.711000000003</v>
      </c>
      <c r="U118" s="34">
        <v>55379.4</v>
      </c>
      <c r="V118" s="16">
        <f t="shared" si="50"/>
        <v>101.03386420715444</v>
      </c>
      <c r="W118" s="58" t="s">
        <v>184</v>
      </c>
    </row>
    <row r="119" spans="1:23">
      <c r="A119" s="6"/>
      <c r="B119" s="124" t="s">
        <v>188</v>
      </c>
      <c r="C119" s="92" t="s">
        <v>189</v>
      </c>
      <c r="D119" s="100" t="s">
        <v>190</v>
      </c>
      <c r="E119" s="131">
        <f>E117/E118</f>
        <v>1.3421570512820515</v>
      </c>
      <c r="H119" s="27"/>
      <c r="I119" s="27"/>
      <c r="J119" s="27"/>
      <c r="K119" s="27"/>
      <c r="L119" s="27"/>
      <c r="M119" s="27"/>
      <c r="N119" s="27"/>
      <c r="O119" s="67">
        <v>1.34</v>
      </c>
      <c r="P119" s="28"/>
      <c r="Q119" s="29"/>
      <c r="R119" s="29"/>
      <c r="S119" s="29"/>
      <c r="T119" s="67">
        <v>1.34</v>
      </c>
      <c r="U119" s="130" t="s">
        <v>191</v>
      </c>
      <c r="V119" s="29"/>
      <c r="W119" s="17"/>
    </row>
    <row r="122" spans="1:23" ht="14.25" hidden="1">
      <c r="C122" s="132" t="s">
        <v>192</v>
      </c>
      <c r="D122" s="132"/>
      <c r="E122" s="132"/>
      <c r="T122" s="132" t="s">
        <v>193</v>
      </c>
      <c r="U122" s="132"/>
    </row>
    <row r="123" spans="1:23" ht="14.25" hidden="1">
      <c r="C123" s="133"/>
      <c r="D123" s="133"/>
      <c r="E123" s="133"/>
      <c r="T123" s="134"/>
      <c r="U123" s="135"/>
    </row>
    <row r="124" spans="1:23" ht="14.25" hidden="1">
      <c r="C124" s="132" t="s">
        <v>194</v>
      </c>
      <c r="D124" s="132"/>
      <c r="E124" s="132"/>
      <c r="T124" s="132" t="s">
        <v>195</v>
      </c>
      <c r="U124" s="132"/>
    </row>
    <row r="125" spans="1:23" ht="14.25" hidden="1">
      <c r="T125" s="136"/>
    </row>
  </sheetData>
  <mergeCells count="14">
    <mergeCell ref="B7:F7"/>
    <mergeCell ref="B9:I9"/>
    <mergeCell ref="B8:V8"/>
    <mergeCell ref="B70:B72"/>
    <mergeCell ref="C122:E122"/>
    <mergeCell ref="T122:U122"/>
    <mergeCell ref="C124:E124"/>
    <mergeCell ref="T124:U124"/>
    <mergeCell ref="B5:C5"/>
    <mergeCell ref="B6:C6"/>
    <mergeCell ref="B2:W2"/>
    <mergeCell ref="B3:W3"/>
    <mergeCell ref="B19:B21"/>
    <mergeCell ref="W19:W23"/>
  </mergeCells>
  <pageMargins left="0.19685039370078741" right="0.19685039370078741" top="0.59055118110236227" bottom="0.51181102362204722" header="0.23622047244094491" footer="0.51181102362204722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для антимоноп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2019-03-19T05:09:05Z</dcterms:created>
  <dcterms:modified xsi:type="dcterms:W3CDTF">2019-03-19T05:14:31Z</dcterms:modified>
</cp:coreProperties>
</file>